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Y1920\Our Amendment to SPCSA\"/>
    </mc:Choice>
  </mc:AlternateContent>
  <xr:revisionPtr revIDLastSave="0" documentId="13_ncr:1_{9957DE82-4EFB-47B3-B4F3-C742C0526DAC}" xr6:coauthVersionLast="36" xr6:coauthVersionMax="45" xr10:uidLastSave="{00000000-0000-0000-0000-000000000000}"/>
  <bookViews>
    <workbookView xWindow="-120" yWindow="-120" windowWidth="29040" windowHeight="15840" xr2:uid="{F83CA453-B8FE-48D9-85F7-597431A100FE}"/>
  </bookViews>
  <sheets>
    <sheet name="Budget" sheetId="16" r:id="rId1"/>
    <sheet name="Summary" sheetId="11" state="hidden" r:id="rId2"/>
    <sheet name="MYP" sheetId="6" r:id="rId3"/>
    <sheet name="Function-Grant" sheetId="17" state="hidden" r:id="rId4"/>
    <sheet name="FY21" sheetId="1" r:id="rId5"/>
    <sheet name="FY22" sheetId="7" r:id="rId6"/>
    <sheet name="FY23" sheetId="8" r:id="rId7"/>
    <sheet name="FY24" sheetId="9" r:id="rId8"/>
    <sheet name="FY25" sheetId="10" r:id="rId9"/>
    <sheet name="Instruction" sheetId="21" r:id="rId10"/>
    <sheet name="Rev &amp; Enroll" sheetId="2" r:id="rId11"/>
    <sheet name="Payroll" sheetId="3" r:id="rId12"/>
    <sheet name="Exp Details" sheetId="4" r:id="rId13"/>
    <sheet name="Request for Change" sheetId="19" state="hidden" r:id="rId14"/>
    <sheet name="Programs List" sheetId="20" r:id="rId15"/>
    <sheet name="Original Budget" sheetId="5" state="hidden" r:id="rId16"/>
    <sheet name="Revised Budget" sheetId="23" state="hidden" r:id="rId17"/>
    <sheet name="Sheet2" sheetId="25" state="hidden" r:id="rId18"/>
    <sheet name="Import" sheetId="18" state="hidden" r:id="rId19"/>
  </sheets>
  <definedNames>
    <definedName name="_xlnm.Print_Area" localSheetId="0">Budget!$A$1:$I$47</definedName>
    <definedName name="_xlnm.Print_Area" localSheetId="1">Summary!$A$1:$L$55</definedName>
  </definedNames>
  <calcPr calcId="191029"/>
  <pivotCaches>
    <pivotCache cacheId="0" r:id="rId2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6" l="1"/>
  <c r="G118" i="6"/>
  <c r="I118" i="6"/>
  <c r="K118" i="6"/>
  <c r="M118" i="6"/>
  <c r="M117" i="6"/>
  <c r="K117" i="6"/>
  <c r="I117" i="6"/>
  <c r="G117" i="6"/>
  <c r="E117" i="6"/>
  <c r="M114" i="6"/>
  <c r="K114" i="6"/>
  <c r="I114" i="6"/>
  <c r="G114" i="6"/>
  <c r="E114" i="6"/>
  <c r="M111" i="6"/>
  <c r="K111" i="6"/>
  <c r="I111" i="6"/>
  <c r="G111" i="6"/>
  <c r="E111" i="6"/>
  <c r="E103" i="6"/>
  <c r="G103" i="6"/>
  <c r="I103" i="6"/>
  <c r="K103" i="6"/>
  <c r="M103" i="6"/>
  <c r="E104" i="6"/>
  <c r="G104" i="6"/>
  <c r="I104" i="6"/>
  <c r="K104" i="6"/>
  <c r="M104" i="6"/>
  <c r="E105" i="6"/>
  <c r="G105" i="6"/>
  <c r="I105" i="6"/>
  <c r="K105" i="6"/>
  <c r="M105" i="6"/>
  <c r="E106" i="6"/>
  <c r="G106" i="6"/>
  <c r="I106" i="6"/>
  <c r="K106" i="6"/>
  <c r="M106" i="6"/>
  <c r="E107" i="6"/>
  <c r="G107" i="6"/>
  <c r="I107" i="6"/>
  <c r="K107" i="6"/>
  <c r="M107" i="6"/>
  <c r="E108" i="6"/>
  <c r="G108" i="6"/>
  <c r="I108" i="6"/>
  <c r="K108" i="6"/>
  <c r="M108" i="6"/>
  <c r="M102" i="6"/>
  <c r="K102" i="6"/>
  <c r="I102" i="6"/>
  <c r="G102" i="6"/>
  <c r="E102" i="6"/>
  <c r="E89" i="6"/>
  <c r="G89" i="6"/>
  <c r="I89" i="6"/>
  <c r="K89" i="6"/>
  <c r="M89" i="6"/>
  <c r="E90" i="6"/>
  <c r="G90" i="6"/>
  <c r="I90" i="6"/>
  <c r="K90" i="6"/>
  <c r="M90" i="6"/>
  <c r="E91" i="6"/>
  <c r="G91" i="6"/>
  <c r="I91" i="6"/>
  <c r="K91" i="6"/>
  <c r="M91" i="6"/>
  <c r="E92" i="6"/>
  <c r="G92" i="6"/>
  <c r="I92" i="6"/>
  <c r="K92" i="6"/>
  <c r="M92" i="6"/>
  <c r="E93" i="6"/>
  <c r="G93" i="6"/>
  <c r="I93" i="6"/>
  <c r="K93" i="6"/>
  <c r="M93" i="6"/>
  <c r="E94" i="6"/>
  <c r="G94" i="6"/>
  <c r="I94" i="6"/>
  <c r="K94" i="6"/>
  <c r="M94" i="6"/>
  <c r="E95" i="6"/>
  <c r="G95" i="6"/>
  <c r="I95" i="6"/>
  <c r="K95" i="6"/>
  <c r="M95" i="6"/>
  <c r="E96" i="6"/>
  <c r="G96" i="6"/>
  <c r="I96" i="6"/>
  <c r="K96" i="6"/>
  <c r="M96" i="6"/>
  <c r="E97" i="6"/>
  <c r="G97" i="6"/>
  <c r="I97" i="6"/>
  <c r="K97" i="6"/>
  <c r="M97" i="6"/>
  <c r="E98" i="6"/>
  <c r="G98" i="6"/>
  <c r="I98" i="6"/>
  <c r="K98" i="6"/>
  <c r="M98" i="6"/>
  <c r="E99" i="6"/>
  <c r="G99" i="6"/>
  <c r="I99" i="6"/>
  <c r="K99" i="6"/>
  <c r="M99" i="6"/>
  <c r="M88" i="6"/>
  <c r="K88" i="6"/>
  <c r="I88" i="6"/>
  <c r="G88" i="6"/>
  <c r="E88" i="6"/>
  <c r="E83" i="6"/>
  <c r="G83" i="6"/>
  <c r="I83" i="6"/>
  <c r="K83" i="6"/>
  <c r="M83" i="6"/>
  <c r="E84" i="6"/>
  <c r="G84" i="6"/>
  <c r="I84" i="6"/>
  <c r="K84" i="6"/>
  <c r="M84" i="6"/>
  <c r="E85" i="6"/>
  <c r="G85" i="6"/>
  <c r="I85" i="6"/>
  <c r="K85" i="6"/>
  <c r="M85" i="6"/>
  <c r="M82" i="6"/>
  <c r="K82" i="6"/>
  <c r="I82" i="6"/>
  <c r="G82" i="6"/>
  <c r="E82" i="6"/>
  <c r="E71" i="6"/>
  <c r="G71" i="6"/>
  <c r="I71" i="6"/>
  <c r="K71" i="6"/>
  <c r="M71" i="6"/>
  <c r="E72" i="6"/>
  <c r="G72" i="6"/>
  <c r="I72" i="6"/>
  <c r="K72" i="6"/>
  <c r="M72" i="6"/>
  <c r="E73" i="6"/>
  <c r="G73" i="6"/>
  <c r="I73" i="6"/>
  <c r="K73" i="6"/>
  <c r="M73" i="6"/>
  <c r="E74" i="6"/>
  <c r="G74" i="6"/>
  <c r="I74" i="6"/>
  <c r="K74" i="6"/>
  <c r="M74" i="6"/>
  <c r="E75" i="6"/>
  <c r="G75" i="6"/>
  <c r="I75" i="6"/>
  <c r="K75" i="6"/>
  <c r="M75" i="6"/>
  <c r="E76" i="6"/>
  <c r="G76" i="6"/>
  <c r="I76" i="6"/>
  <c r="K76" i="6"/>
  <c r="M76" i="6"/>
  <c r="E77" i="6"/>
  <c r="G77" i="6"/>
  <c r="I77" i="6"/>
  <c r="K77" i="6"/>
  <c r="M77" i="6"/>
  <c r="E78" i="6"/>
  <c r="G78" i="6"/>
  <c r="I78" i="6"/>
  <c r="K78" i="6"/>
  <c r="M78" i="6"/>
  <c r="E79" i="6"/>
  <c r="G79" i="6"/>
  <c r="I79" i="6"/>
  <c r="K79" i="6"/>
  <c r="M79" i="6"/>
  <c r="M70" i="6"/>
  <c r="K70" i="6"/>
  <c r="I70" i="6"/>
  <c r="G70" i="6"/>
  <c r="E70" i="6"/>
  <c r="E50" i="6"/>
  <c r="G50" i="6"/>
  <c r="I50" i="6"/>
  <c r="K50" i="6"/>
  <c r="M50" i="6"/>
  <c r="E51" i="6"/>
  <c r="G51" i="6"/>
  <c r="I51" i="6"/>
  <c r="K51" i="6"/>
  <c r="M51" i="6"/>
  <c r="E52" i="6"/>
  <c r="G52" i="6"/>
  <c r="I52" i="6"/>
  <c r="K52" i="6"/>
  <c r="M52" i="6"/>
  <c r="E53" i="6"/>
  <c r="G53" i="6"/>
  <c r="I53" i="6"/>
  <c r="K53" i="6"/>
  <c r="M53" i="6"/>
  <c r="E54" i="6"/>
  <c r="G54" i="6"/>
  <c r="I54" i="6"/>
  <c r="K54" i="6"/>
  <c r="M54" i="6"/>
  <c r="E55" i="6"/>
  <c r="G55" i="6"/>
  <c r="I55" i="6"/>
  <c r="K55" i="6"/>
  <c r="M55" i="6"/>
  <c r="E56" i="6"/>
  <c r="G56" i="6"/>
  <c r="I56" i="6"/>
  <c r="K56" i="6"/>
  <c r="M56" i="6"/>
  <c r="E57" i="6"/>
  <c r="G57" i="6"/>
  <c r="I57" i="6"/>
  <c r="K57" i="6"/>
  <c r="M57" i="6"/>
  <c r="E58" i="6"/>
  <c r="G58" i="6"/>
  <c r="I58" i="6"/>
  <c r="K58" i="6"/>
  <c r="M58" i="6"/>
  <c r="E59" i="6"/>
  <c r="G59" i="6"/>
  <c r="I59" i="6"/>
  <c r="K59" i="6"/>
  <c r="M59" i="6"/>
  <c r="E60" i="6"/>
  <c r="G60" i="6"/>
  <c r="I60" i="6"/>
  <c r="K60" i="6"/>
  <c r="M60" i="6"/>
  <c r="E61" i="6"/>
  <c r="G61" i="6"/>
  <c r="I61" i="6"/>
  <c r="K61" i="6"/>
  <c r="M61" i="6"/>
  <c r="E62" i="6"/>
  <c r="G62" i="6"/>
  <c r="I62" i="6"/>
  <c r="K62" i="6"/>
  <c r="M62" i="6"/>
  <c r="E63" i="6"/>
  <c r="G63" i="6"/>
  <c r="I63" i="6"/>
  <c r="K63" i="6"/>
  <c r="M63" i="6"/>
  <c r="E64" i="6"/>
  <c r="G64" i="6"/>
  <c r="I64" i="6"/>
  <c r="K64" i="6"/>
  <c r="M64" i="6"/>
  <c r="E65" i="6"/>
  <c r="G65" i="6"/>
  <c r="I65" i="6"/>
  <c r="K65" i="6"/>
  <c r="M65" i="6"/>
  <c r="E66" i="6"/>
  <c r="G66" i="6"/>
  <c r="I66" i="6"/>
  <c r="K66" i="6"/>
  <c r="M66" i="6"/>
  <c r="E67" i="6"/>
  <c r="G67" i="6"/>
  <c r="I67" i="6"/>
  <c r="K67" i="6"/>
  <c r="M67" i="6"/>
  <c r="M49" i="6"/>
  <c r="K49" i="6"/>
  <c r="I49" i="6"/>
  <c r="G49" i="6"/>
  <c r="E49" i="6"/>
  <c r="E38" i="6"/>
  <c r="G38" i="6"/>
  <c r="I38" i="6"/>
  <c r="K38" i="6"/>
  <c r="M38" i="6"/>
  <c r="E39" i="6"/>
  <c r="G39" i="6"/>
  <c r="I39" i="6"/>
  <c r="K39" i="6"/>
  <c r="M39" i="6"/>
  <c r="E40" i="6"/>
  <c r="G40" i="6"/>
  <c r="I40" i="6"/>
  <c r="K40" i="6"/>
  <c r="M40" i="6"/>
  <c r="E41" i="6"/>
  <c r="G41" i="6"/>
  <c r="I41" i="6"/>
  <c r="K41" i="6"/>
  <c r="M41" i="6"/>
  <c r="E42" i="6"/>
  <c r="G42" i="6"/>
  <c r="I42" i="6"/>
  <c r="K42" i="6"/>
  <c r="M42" i="6"/>
  <c r="E43" i="6"/>
  <c r="G43" i="6"/>
  <c r="I43" i="6"/>
  <c r="K43" i="6"/>
  <c r="M43" i="6"/>
  <c r="E44" i="6"/>
  <c r="G44" i="6"/>
  <c r="I44" i="6"/>
  <c r="K44" i="6"/>
  <c r="M44" i="6"/>
  <c r="E45" i="6"/>
  <c r="G45" i="6"/>
  <c r="I45" i="6"/>
  <c r="K45" i="6"/>
  <c r="M45" i="6"/>
  <c r="E46" i="6"/>
  <c r="G46" i="6"/>
  <c r="I46" i="6"/>
  <c r="K46" i="6"/>
  <c r="M46" i="6"/>
  <c r="M37" i="6"/>
  <c r="K37" i="6"/>
  <c r="I37" i="6"/>
  <c r="G37" i="6"/>
  <c r="E37" i="6"/>
  <c r="M30" i="6"/>
  <c r="K30" i="6"/>
  <c r="I30" i="6"/>
  <c r="G30" i="6"/>
  <c r="E30" i="6"/>
  <c r="E26" i="6"/>
  <c r="G26" i="6"/>
  <c r="I26" i="6"/>
  <c r="K26" i="6"/>
  <c r="M26" i="6"/>
  <c r="E27" i="6"/>
  <c r="G27" i="6"/>
  <c r="I27" i="6"/>
  <c r="K27" i="6"/>
  <c r="M27" i="6"/>
  <c r="M25" i="6"/>
  <c r="K25" i="6"/>
  <c r="I25" i="6"/>
  <c r="G25" i="6"/>
  <c r="E25" i="6"/>
  <c r="E22" i="6"/>
  <c r="G22" i="6"/>
  <c r="I22" i="6"/>
  <c r="K22" i="6"/>
  <c r="M22" i="6"/>
  <c r="M21" i="6"/>
  <c r="K21" i="6"/>
  <c r="I21" i="6"/>
  <c r="G21" i="6"/>
  <c r="E21" i="6"/>
  <c r="E15" i="6"/>
  <c r="G15" i="6"/>
  <c r="I15" i="6"/>
  <c r="K15" i="6"/>
  <c r="M15" i="6"/>
  <c r="E16" i="6"/>
  <c r="G16" i="6"/>
  <c r="I16" i="6"/>
  <c r="K16" i="6"/>
  <c r="M16" i="6"/>
  <c r="E17" i="6"/>
  <c r="G17" i="6"/>
  <c r="I17" i="6"/>
  <c r="K17" i="6"/>
  <c r="M17" i="6"/>
  <c r="E18" i="6"/>
  <c r="G18" i="6"/>
  <c r="I18" i="6"/>
  <c r="K18" i="6"/>
  <c r="M18" i="6"/>
  <c r="I14" i="6"/>
  <c r="K14" i="6"/>
  <c r="M14" i="6"/>
  <c r="G14" i="6"/>
  <c r="E14" i="6"/>
  <c r="F99" i="10" l="1"/>
  <c r="G99" i="10"/>
  <c r="H99" i="10"/>
  <c r="I99" i="10"/>
  <c r="J99" i="10"/>
  <c r="K99" i="10"/>
  <c r="L99" i="10"/>
  <c r="M99" i="10"/>
  <c r="N99" i="10"/>
  <c r="O99" i="10"/>
  <c r="P99" i="10"/>
  <c r="F100" i="10"/>
  <c r="G100" i="10"/>
  <c r="H100" i="10"/>
  <c r="I100" i="10"/>
  <c r="J100" i="10"/>
  <c r="K100" i="10"/>
  <c r="L100" i="10"/>
  <c r="M100" i="10"/>
  <c r="N100" i="10"/>
  <c r="O100" i="10"/>
  <c r="P100" i="10"/>
  <c r="E100" i="10"/>
  <c r="E99" i="10"/>
  <c r="F91" i="10"/>
  <c r="G91" i="10"/>
  <c r="H91" i="10"/>
  <c r="I91" i="10"/>
  <c r="J91" i="10"/>
  <c r="K91" i="10"/>
  <c r="L91" i="10"/>
  <c r="M91" i="10"/>
  <c r="N91" i="10"/>
  <c r="O91" i="10"/>
  <c r="P91" i="10"/>
  <c r="F92" i="10"/>
  <c r="G92" i="10"/>
  <c r="H92" i="10"/>
  <c r="I92" i="10"/>
  <c r="J92" i="10"/>
  <c r="K92" i="10"/>
  <c r="L92" i="10"/>
  <c r="M92" i="10"/>
  <c r="N92" i="10"/>
  <c r="O92" i="10"/>
  <c r="P92" i="10"/>
  <c r="E92" i="10"/>
  <c r="E91" i="10"/>
  <c r="F99" i="9"/>
  <c r="G99" i="9"/>
  <c r="H99" i="9"/>
  <c r="I99" i="9"/>
  <c r="J99" i="9"/>
  <c r="K99" i="9"/>
  <c r="L99" i="9"/>
  <c r="M99" i="9"/>
  <c r="N99" i="9"/>
  <c r="O99" i="9"/>
  <c r="P99" i="9"/>
  <c r="F100" i="9"/>
  <c r="G100" i="9"/>
  <c r="H100" i="9"/>
  <c r="I100" i="9"/>
  <c r="J100" i="9"/>
  <c r="K100" i="9"/>
  <c r="L100" i="9"/>
  <c r="M100" i="9"/>
  <c r="N100" i="9"/>
  <c r="O100" i="9"/>
  <c r="P100" i="9"/>
  <c r="E100" i="9"/>
  <c r="E99" i="9"/>
  <c r="E92" i="9"/>
  <c r="E91" i="9"/>
  <c r="F91" i="8"/>
  <c r="G91" i="8"/>
  <c r="H91" i="8"/>
  <c r="I91" i="8"/>
  <c r="J91" i="8"/>
  <c r="K91" i="8"/>
  <c r="L91" i="8"/>
  <c r="M91" i="8"/>
  <c r="N91" i="8"/>
  <c r="O91" i="8"/>
  <c r="P91" i="8"/>
  <c r="F92" i="8"/>
  <c r="G92" i="8"/>
  <c r="H92" i="8"/>
  <c r="I92" i="8"/>
  <c r="J92" i="8"/>
  <c r="K92" i="8"/>
  <c r="L92" i="8"/>
  <c r="M92" i="8"/>
  <c r="N92" i="8"/>
  <c r="O92" i="8"/>
  <c r="P92" i="8"/>
  <c r="F99" i="8"/>
  <c r="G99" i="8"/>
  <c r="H99" i="8"/>
  <c r="I99" i="8"/>
  <c r="J99" i="8"/>
  <c r="K99" i="8"/>
  <c r="L99" i="8"/>
  <c r="M99" i="8"/>
  <c r="N99" i="8"/>
  <c r="O99" i="8"/>
  <c r="P99" i="8"/>
  <c r="F100" i="8"/>
  <c r="G100" i="8"/>
  <c r="H100" i="8"/>
  <c r="I100" i="8"/>
  <c r="J100" i="8"/>
  <c r="K100" i="8"/>
  <c r="L100" i="8"/>
  <c r="M100" i="8"/>
  <c r="N100" i="8"/>
  <c r="O100" i="8"/>
  <c r="P100" i="8"/>
  <c r="E100" i="8"/>
  <c r="E99" i="8"/>
  <c r="E92" i="8"/>
  <c r="E91" i="8"/>
  <c r="E125" i="6" l="1"/>
  <c r="N35" i="2"/>
  <c r="L35" i="2"/>
  <c r="J35" i="2"/>
  <c r="H35" i="2"/>
  <c r="F99" i="7" l="1"/>
  <c r="G99" i="7"/>
  <c r="H99" i="7"/>
  <c r="I99" i="7"/>
  <c r="J99" i="7"/>
  <c r="K99" i="7"/>
  <c r="L99" i="7"/>
  <c r="M99" i="7"/>
  <c r="N99" i="7"/>
  <c r="O99" i="7"/>
  <c r="P99" i="7"/>
  <c r="F100" i="7"/>
  <c r="G100" i="7"/>
  <c r="H100" i="7"/>
  <c r="I100" i="7"/>
  <c r="J100" i="7"/>
  <c r="K100" i="7"/>
  <c r="L100" i="7"/>
  <c r="M100" i="7"/>
  <c r="N100" i="7"/>
  <c r="O100" i="7"/>
  <c r="P100" i="7"/>
  <c r="E100" i="7"/>
  <c r="E99" i="7"/>
  <c r="F91" i="9"/>
  <c r="G91" i="9"/>
  <c r="H91" i="9"/>
  <c r="I91" i="9"/>
  <c r="J91" i="9"/>
  <c r="K91" i="9"/>
  <c r="L91" i="9"/>
  <c r="M91" i="9"/>
  <c r="N91" i="9"/>
  <c r="O91" i="9"/>
  <c r="P91" i="9"/>
  <c r="F92" i="9"/>
  <c r="G92" i="9"/>
  <c r="H92" i="9"/>
  <c r="I92" i="9"/>
  <c r="J92" i="9"/>
  <c r="K92" i="9"/>
  <c r="L92" i="9"/>
  <c r="M92" i="9"/>
  <c r="N92" i="9"/>
  <c r="O92" i="9"/>
  <c r="P92" i="9"/>
  <c r="F91" i="7"/>
  <c r="G91" i="7"/>
  <c r="H91" i="7"/>
  <c r="I91" i="7"/>
  <c r="J91" i="7"/>
  <c r="K91" i="7"/>
  <c r="L91" i="7"/>
  <c r="M91" i="7"/>
  <c r="N91" i="7"/>
  <c r="O91" i="7"/>
  <c r="P91" i="7"/>
  <c r="F92" i="7"/>
  <c r="G92" i="7"/>
  <c r="H92" i="7"/>
  <c r="I92" i="7"/>
  <c r="J92" i="7"/>
  <c r="K92" i="7"/>
  <c r="L92" i="7"/>
  <c r="M92" i="7"/>
  <c r="N92" i="7"/>
  <c r="O92" i="7"/>
  <c r="P92" i="7"/>
  <c r="E92" i="7"/>
  <c r="E91" i="7"/>
  <c r="G96" i="18" l="1"/>
  <c r="F96" i="18" s="1"/>
  <c r="G38" i="18"/>
  <c r="F38" i="18" s="1"/>
  <c r="D67" i="25"/>
  <c r="F67" i="25" s="1"/>
  <c r="D62" i="25"/>
  <c r="F62" i="25" s="1"/>
  <c r="G79" i="18"/>
  <c r="F79" i="18" s="1"/>
  <c r="M79" i="18"/>
  <c r="K79" i="18"/>
  <c r="D79" i="18" s="1"/>
  <c r="M78" i="18"/>
  <c r="K78" i="18"/>
  <c r="D78" i="18" s="1"/>
  <c r="M32" i="18"/>
  <c r="K32" i="18"/>
  <c r="G32" i="18"/>
  <c r="F32" i="18" s="1"/>
  <c r="D32" i="18"/>
  <c r="G94" i="18"/>
  <c r="F94" i="18" s="1"/>
  <c r="G91" i="18"/>
  <c r="F91" i="18" s="1"/>
  <c r="M91" i="18"/>
  <c r="K91" i="18"/>
  <c r="G92" i="18"/>
  <c r="F92" i="18" s="1"/>
  <c r="M65" i="18"/>
  <c r="K65" i="18"/>
  <c r="D65" i="18" s="1"/>
  <c r="G65" i="18"/>
  <c r="F65" i="18" s="1"/>
  <c r="F65" i="17"/>
  <c r="N65" i="17"/>
  <c r="M71" i="18"/>
  <c r="K71" i="18"/>
  <c r="D71" i="18" s="1"/>
  <c r="G71" i="18"/>
  <c r="F71" i="18" s="1"/>
  <c r="D55" i="25"/>
  <c r="F55" i="25" s="1"/>
  <c r="D51" i="25"/>
  <c r="F51" i="25" s="1"/>
  <c r="D43" i="25"/>
  <c r="F43" i="25" s="1"/>
  <c r="D24" i="25"/>
  <c r="F24" i="25" s="1"/>
  <c r="D14" i="25"/>
  <c r="F14" i="25" s="1"/>
  <c r="G90" i="18"/>
  <c r="F90" i="18" s="1"/>
  <c r="G88" i="18"/>
  <c r="F88" i="18" s="1"/>
  <c r="G87" i="18"/>
  <c r="G86" i="18"/>
  <c r="F86" i="18" s="1"/>
  <c r="G84" i="18"/>
  <c r="F84" i="18" s="1"/>
  <c r="G82" i="18"/>
  <c r="F82" i="18" s="1"/>
  <c r="G81" i="18"/>
  <c r="F81" i="18" s="1"/>
  <c r="G77" i="18"/>
  <c r="F77" i="18" s="1"/>
  <c r="G74" i="18"/>
  <c r="F74" i="18" s="1"/>
  <c r="G73" i="18"/>
  <c r="F73" i="18" s="1"/>
  <c r="G72" i="18"/>
  <c r="F72" i="18" s="1"/>
  <c r="G69" i="18"/>
  <c r="F69" i="18" s="1"/>
  <c r="G68" i="18"/>
  <c r="F68" i="18" s="1"/>
  <c r="G66" i="18"/>
  <c r="G47" i="18"/>
  <c r="F47" i="18" s="1"/>
  <c r="G40" i="18"/>
  <c r="F40" i="18" s="1"/>
  <c r="G39" i="18"/>
  <c r="F39" i="18" s="1"/>
  <c r="G37" i="18"/>
  <c r="F37" i="18" s="1"/>
  <c r="G36" i="18"/>
  <c r="F36" i="18" s="1"/>
  <c r="G35" i="18"/>
  <c r="F35" i="18" s="1"/>
  <c r="G34" i="18"/>
  <c r="F34" i="18" s="1"/>
  <c r="G33" i="18"/>
  <c r="F33" i="18" s="1"/>
  <c r="G31" i="18"/>
  <c r="F31" i="18" s="1"/>
  <c r="G30" i="18"/>
  <c r="F30" i="18" s="1"/>
  <c r="G29" i="18"/>
  <c r="F29" i="18" s="1"/>
  <c r="G16" i="18"/>
  <c r="F16" i="18" s="1"/>
  <c r="G14" i="18"/>
  <c r="F14" i="18" s="1"/>
  <c r="G13" i="18"/>
  <c r="F13" i="18" s="1"/>
  <c r="G12" i="18"/>
  <c r="F12" i="18" s="1"/>
  <c r="M96" i="18"/>
  <c r="K96" i="18"/>
  <c r="M95" i="18"/>
  <c r="K95" i="18"/>
  <c r="M94" i="18"/>
  <c r="K94" i="18"/>
  <c r="M93" i="18"/>
  <c r="K93" i="18"/>
  <c r="D93" i="18" s="1"/>
  <c r="M92" i="18"/>
  <c r="K92" i="18"/>
  <c r="M90" i="18"/>
  <c r="D90" i="18" s="1"/>
  <c r="K90" i="18"/>
  <c r="M89" i="18"/>
  <c r="K89" i="18"/>
  <c r="M88" i="18"/>
  <c r="K88" i="18"/>
  <c r="D88" i="18" s="1"/>
  <c r="M87" i="18"/>
  <c r="K87" i="18"/>
  <c r="F87" i="18"/>
  <c r="M86" i="18"/>
  <c r="K86" i="18"/>
  <c r="M85" i="18"/>
  <c r="K85" i="18"/>
  <c r="D85" i="18" s="1"/>
  <c r="M84" i="18"/>
  <c r="K84" i="18"/>
  <c r="M83" i="18"/>
  <c r="K83" i="18"/>
  <c r="M82" i="18"/>
  <c r="K82" i="18"/>
  <c r="M81" i="18"/>
  <c r="K81" i="18"/>
  <c r="D81" i="18" s="1"/>
  <c r="M80" i="18"/>
  <c r="K80" i="18"/>
  <c r="M77" i="18"/>
  <c r="D77" i="18" s="1"/>
  <c r="K77" i="18"/>
  <c r="M76" i="18"/>
  <c r="K76" i="18"/>
  <c r="M75" i="18"/>
  <c r="K75" i="18"/>
  <c r="M74" i="18"/>
  <c r="K74" i="18"/>
  <c r="M73" i="18"/>
  <c r="K73" i="18"/>
  <c r="M72" i="18"/>
  <c r="K72" i="18"/>
  <c r="M70" i="18"/>
  <c r="K70" i="18"/>
  <c r="D70" i="18" s="1"/>
  <c r="M69" i="18"/>
  <c r="K69" i="18"/>
  <c r="M68" i="18"/>
  <c r="K68" i="18"/>
  <c r="M67" i="18"/>
  <c r="K67" i="18"/>
  <c r="D67" i="18" s="1"/>
  <c r="M66" i="18"/>
  <c r="K66" i="18"/>
  <c r="F66" i="18"/>
  <c r="M64" i="18"/>
  <c r="K64" i="18"/>
  <c r="M63" i="18"/>
  <c r="K63" i="18"/>
  <c r="D63" i="18" s="1"/>
  <c r="M62" i="18"/>
  <c r="K62" i="18"/>
  <c r="M61" i="18"/>
  <c r="K61" i="18"/>
  <c r="D61" i="18" s="1"/>
  <c r="M60" i="18"/>
  <c r="K60" i="18"/>
  <c r="D60" i="18" s="1"/>
  <c r="M59" i="18"/>
  <c r="K59" i="18"/>
  <c r="M58" i="18"/>
  <c r="K58" i="18"/>
  <c r="M57" i="18"/>
  <c r="K57" i="18"/>
  <c r="M56" i="18"/>
  <c r="K56" i="18"/>
  <c r="M55" i="18"/>
  <c r="K55" i="18"/>
  <c r="D55" i="18" s="1"/>
  <c r="M54" i="18"/>
  <c r="K54" i="18"/>
  <c r="M53" i="18"/>
  <c r="K53" i="18"/>
  <c r="M52" i="18"/>
  <c r="K52" i="18"/>
  <c r="D52" i="18" s="1"/>
  <c r="M51" i="18"/>
  <c r="K51" i="18"/>
  <c r="M50" i="18"/>
  <c r="K50" i="18"/>
  <c r="D50" i="18" s="1"/>
  <c r="M49" i="18"/>
  <c r="K49" i="18"/>
  <c r="M48" i="18"/>
  <c r="K48" i="18"/>
  <c r="M47" i="18"/>
  <c r="K47" i="18"/>
  <c r="M46" i="18"/>
  <c r="K46" i="18"/>
  <c r="M45" i="18"/>
  <c r="K45" i="18"/>
  <c r="M44" i="18"/>
  <c r="K44" i="18"/>
  <c r="D44" i="18" s="1"/>
  <c r="M43" i="18"/>
  <c r="D43" i="18" s="1"/>
  <c r="K43" i="18"/>
  <c r="M42" i="18"/>
  <c r="K42" i="18"/>
  <c r="M41" i="18"/>
  <c r="K41" i="18"/>
  <c r="M40" i="18"/>
  <c r="K40" i="18"/>
  <c r="M39" i="18"/>
  <c r="K39" i="18"/>
  <c r="D39" i="18" s="1"/>
  <c r="M38" i="18"/>
  <c r="K38" i="18"/>
  <c r="D38" i="18" s="1"/>
  <c r="M37" i="18"/>
  <c r="K37" i="18"/>
  <c r="D37" i="18" s="1"/>
  <c r="M36" i="18"/>
  <c r="K36" i="18"/>
  <c r="M35" i="18"/>
  <c r="K35" i="18"/>
  <c r="D35" i="18" s="1"/>
  <c r="M34" i="18"/>
  <c r="D34" i="18" s="1"/>
  <c r="K34" i="18"/>
  <c r="M33" i="18"/>
  <c r="K33" i="18"/>
  <c r="M31" i="18"/>
  <c r="K31" i="18"/>
  <c r="M30" i="18"/>
  <c r="K30" i="18"/>
  <c r="M29" i="18"/>
  <c r="K29" i="18"/>
  <c r="D29" i="18"/>
  <c r="M28" i="18"/>
  <c r="K28" i="18"/>
  <c r="M27" i="18"/>
  <c r="K27" i="18"/>
  <c r="D27" i="18" s="1"/>
  <c r="M26" i="18"/>
  <c r="K26" i="18"/>
  <c r="M25" i="18"/>
  <c r="K25" i="18"/>
  <c r="M24" i="18"/>
  <c r="K24" i="18"/>
  <c r="M23" i="18"/>
  <c r="K23" i="18"/>
  <c r="D23" i="18" s="1"/>
  <c r="M22" i="18"/>
  <c r="K22" i="18"/>
  <c r="D22" i="18" s="1"/>
  <c r="M21" i="18"/>
  <c r="K21" i="18"/>
  <c r="D21" i="18" s="1"/>
  <c r="M20" i="18"/>
  <c r="K20" i="18"/>
  <c r="D20" i="18" s="1"/>
  <c r="M19" i="18"/>
  <c r="K19" i="18"/>
  <c r="M18" i="18"/>
  <c r="K18" i="18"/>
  <c r="M17" i="18"/>
  <c r="K17" i="18"/>
  <c r="D17" i="18" s="1"/>
  <c r="M16" i="18"/>
  <c r="K16" i="18"/>
  <c r="M15" i="18"/>
  <c r="K15" i="18"/>
  <c r="M14" i="18"/>
  <c r="K14" i="18"/>
  <c r="D14" i="18" s="1"/>
  <c r="M13" i="18"/>
  <c r="D13" i="18" s="1"/>
  <c r="K13" i="18"/>
  <c r="M12" i="18"/>
  <c r="K12" i="18"/>
  <c r="D12" i="18" s="1"/>
  <c r="M11" i="18"/>
  <c r="K11" i="18"/>
  <c r="D11" i="18" s="1"/>
  <c r="M10" i="18"/>
  <c r="K10" i="18"/>
  <c r="D10" i="18" s="1"/>
  <c r="M9" i="18"/>
  <c r="K9" i="18"/>
  <c r="M8" i="18"/>
  <c r="K8" i="18"/>
  <c r="D8" i="18" s="1"/>
  <c r="M7" i="18"/>
  <c r="K7" i="18"/>
  <c r="M6" i="18"/>
  <c r="K6" i="18"/>
  <c r="D6" i="18" s="1"/>
  <c r="M5" i="18"/>
  <c r="K5" i="18"/>
  <c r="D5" i="18" s="1"/>
  <c r="Y108" i="17"/>
  <c r="P108" i="17"/>
  <c r="F88" i="17"/>
  <c r="W82" i="17"/>
  <c r="W94" i="17" s="1"/>
  <c r="W112" i="17"/>
  <c r="W111" i="17"/>
  <c r="W113" i="17" s="1"/>
  <c r="W108" i="17"/>
  <c r="W109" i="17" s="1"/>
  <c r="W105" i="17"/>
  <c r="W106" i="17" s="1"/>
  <c r="W102" i="17"/>
  <c r="W101" i="17"/>
  <c r="W100" i="17"/>
  <c r="W99" i="17"/>
  <c r="W98" i="17"/>
  <c r="W97" i="17"/>
  <c r="W96" i="17"/>
  <c r="W93" i="17"/>
  <c r="W92" i="17"/>
  <c r="W91" i="17"/>
  <c r="W90" i="17"/>
  <c r="W89" i="17"/>
  <c r="W88" i="17"/>
  <c r="W87" i="17"/>
  <c r="W86" i="17"/>
  <c r="W85" i="17"/>
  <c r="W84" i="17"/>
  <c r="W83" i="17"/>
  <c r="W79" i="17"/>
  <c r="W78" i="17"/>
  <c r="W77" i="17"/>
  <c r="W76" i="17"/>
  <c r="W80" i="17" s="1"/>
  <c r="W73" i="17"/>
  <c r="W72" i="17"/>
  <c r="W71" i="17"/>
  <c r="W70" i="17"/>
  <c r="W69" i="17"/>
  <c r="W68" i="17"/>
  <c r="W67" i="17"/>
  <c r="W66" i="17"/>
  <c r="W65" i="17"/>
  <c r="W64" i="17"/>
  <c r="W62" i="17"/>
  <c r="W41" i="17"/>
  <c r="W25" i="17"/>
  <c r="W22" i="17"/>
  <c r="W17" i="17"/>
  <c r="W13" i="17"/>
  <c r="W27" i="17" s="1"/>
  <c r="O88" i="17"/>
  <c r="F84" i="17"/>
  <c r="G84" i="17"/>
  <c r="H84" i="17"/>
  <c r="I84" i="17"/>
  <c r="J65" i="17"/>
  <c r="G42" i="18" s="1"/>
  <c r="F42" i="18" s="1"/>
  <c r="G65" i="17"/>
  <c r="G67" i="18" s="1"/>
  <c r="F67" i="18" s="1"/>
  <c r="H65" i="17"/>
  <c r="I65" i="17"/>
  <c r="N64" i="17"/>
  <c r="D68" i="25"/>
  <c r="D36" i="18" l="1"/>
  <c r="D45" i="18"/>
  <c r="D76" i="18"/>
  <c r="D94" i="18"/>
  <c r="D31" i="18"/>
  <c r="D54" i="18"/>
  <c r="D69" i="18"/>
  <c r="D80" i="18"/>
  <c r="D87" i="18"/>
  <c r="D24" i="18"/>
  <c r="D40" i="18"/>
  <c r="D48" i="18"/>
  <c r="D9" i="18"/>
  <c r="D72" i="18"/>
  <c r="D89" i="18"/>
  <c r="D42" i="18"/>
  <c r="D73" i="18"/>
  <c r="D19" i="18"/>
  <c r="D58" i="18"/>
  <c r="D91" i="18"/>
  <c r="D26" i="18"/>
  <c r="D47" i="18"/>
  <c r="D68" i="18"/>
  <c r="D75" i="18"/>
  <c r="D84" i="18"/>
  <c r="D92" i="18"/>
  <c r="D41" i="18"/>
  <c r="D28" i="18"/>
  <c r="D49" i="18"/>
  <c r="D62" i="18"/>
  <c r="D86" i="18"/>
  <c r="D56" i="18"/>
  <c r="D15" i="18"/>
  <c r="D57" i="18"/>
  <c r="D64" i="18"/>
  <c r="D95" i="18"/>
  <c r="D7" i="18"/>
  <c r="D30" i="18"/>
  <c r="D51" i="18"/>
  <c r="D96" i="18"/>
  <c r="D16" i="18"/>
  <c r="D66" i="18"/>
  <c r="D82" i="18"/>
  <c r="D59" i="18"/>
  <c r="D83" i="18"/>
  <c r="D18" i="18"/>
  <c r="D25" i="18"/>
  <c r="D33" i="18"/>
  <c r="D46" i="18"/>
  <c r="D53" i="18"/>
  <c r="D74" i="18"/>
  <c r="F68" i="25"/>
  <c r="W103" i="17"/>
  <c r="W74" i="17"/>
  <c r="W115" i="17" s="1"/>
  <c r="W117" i="17" s="1"/>
  <c r="W106" i="4" l="1"/>
  <c r="H106" i="4"/>
  <c r="H201" i="4" l="1"/>
  <c r="H198" i="4"/>
  <c r="G33" i="16" l="1"/>
  <c r="H10" i="3" l="1"/>
  <c r="L299" i="4" l="1"/>
  <c r="M299" i="4"/>
  <c r="N299" i="4"/>
  <c r="O299" i="4"/>
  <c r="P299" i="4"/>
  <c r="Q299" i="4"/>
  <c r="S299" i="4"/>
  <c r="T299" i="4"/>
  <c r="U299" i="4"/>
  <c r="V299" i="4"/>
  <c r="W294" i="4"/>
  <c r="H294" i="4"/>
  <c r="R295" i="4"/>
  <c r="R299" i="4" s="1"/>
  <c r="K299" i="4"/>
  <c r="W293" i="4"/>
  <c r="H293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H264" i="4"/>
  <c r="F257" i="4"/>
  <c r="O257" i="4" s="1"/>
  <c r="F249" i="4"/>
  <c r="AF68" i="2"/>
  <c r="AG64" i="2"/>
  <c r="AG68" i="2" s="1"/>
  <c r="AF64" i="2"/>
  <c r="F245" i="4"/>
  <c r="L236" i="4"/>
  <c r="K236" i="4"/>
  <c r="V236" i="4"/>
  <c r="U236" i="4"/>
  <c r="T236" i="4"/>
  <c r="S236" i="4"/>
  <c r="R236" i="4"/>
  <c r="Q236" i="4"/>
  <c r="P236" i="4"/>
  <c r="O236" i="4"/>
  <c r="N236" i="4"/>
  <c r="M236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H202" i="4"/>
  <c r="W201" i="4"/>
  <c r="H245" i="4" l="1"/>
  <c r="N245" i="4"/>
  <c r="W245" i="4" s="1"/>
  <c r="W257" i="4"/>
  <c r="H257" i="4"/>
  <c r="T249" i="4"/>
  <c r="W249" i="4" s="1"/>
  <c r="H249" i="4"/>
  <c r="W264" i="4"/>
  <c r="W202" i="4"/>
  <c r="V189" i="4" l="1"/>
  <c r="U189" i="4"/>
  <c r="T189" i="4"/>
  <c r="S189" i="4"/>
  <c r="R189" i="4"/>
  <c r="Q189" i="4"/>
  <c r="P189" i="4"/>
  <c r="O189" i="4"/>
  <c r="N189" i="4"/>
  <c r="M189" i="4"/>
  <c r="L189" i="4"/>
  <c r="K189" i="4"/>
  <c r="H189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H188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K156" i="4"/>
  <c r="L156" i="4"/>
  <c r="M156" i="4"/>
  <c r="N156" i="4"/>
  <c r="O156" i="4"/>
  <c r="P156" i="4"/>
  <c r="Q156" i="4"/>
  <c r="R156" i="4"/>
  <c r="S156" i="4"/>
  <c r="T156" i="4"/>
  <c r="U156" i="4"/>
  <c r="W138" i="4"/>
  <c r="H138" i="4"/>
  <c r="H129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H105" i="4"/>
  <c r="H104" i="4"/>
  <c r="H107" i="4"/>
  <c r="V91" i="4"/>
  <c r="U91" i="4"/>
  <c r="T91" i="4"/>
  <c r="S91" i="4"/>
  <c r="R91" i="4"/>
  <c r="Q91" i="4"/>
  <c r="P91" i="4"/>
  <c r="O91" i="4"/>
  <c r="N91" i="4"/>
  <c r="M91" i="4"/>
  <c r="L91" i="4"/>
  <c r="K91" i="4"/>
  <c r="H91" i="4"/>
  <c r="V90" i="4"/>
  <c r="U90" i="4"/>
  <c r="T90" i="4"/>
  <c r="S90" i="4"/>
  <c r="R90" i="4"/>
  <c r="Q90" i="4"/>
  <c r="P90" i="4"/>
  <c r="O90" i="4"/>
  <c r="N90" i="4"/>
  <c r="M90" i="4"/>
  <c r="L90" i="4"/>
  <c r="K90" i="4"/>
  <c r="H90" i="4"/>
  <c r="V99" i="4"/>
  <c r="U99" i="4"/>
  <c r="T99" i="4"/>
  <c r="S99" i="4"/>
  <c r="R99" i="4"/>
  <c r="Q99" i="4"/>
  <c r="P99" i="4"/>
  <c r="O99" i="4"/>
  <c r="N99" i="4"/>
  <c r="M99" i="4"/>
  <c r="L99" i="4"/>
  <c r="K99" i="4"/>
  <c r="L89" i="4"/>
  <c r="M89" i="4"/>
  <c r="N89" i="4"/>
  <c r="O89" i="4"/>
  <c r="P89" i="4"/>
  <c r="Q89" i="4"/>
  <c r="R89" i="4"/>
  <c r="S89" i="4"/>
  <c r="T89" i="4"/>
  <c r="U89" i="4"/>
  <c r="V89" i="4"/>
  <c r="K89" i="4"/>
  <c r="H89" i="4"/>
  <c r="L86" i="4"/>
  <c r="M86" i="4"/>
  <c r="N86" i="4"/>
  <c r="O86" i="4"/>
  <c r="P86" i="4"/>
  <c r="Q86" i="4"/>
  <c r="R86" i="4"/>
  <c r="S86" i="4"/>
  <c r="T86" i="4"/>
  <c r="U86" i="4"/>
  <c r="V86" i="4"/>
  <c r="K86" i="4"/>
  <c r="K80" i="4"/>
  <c r="L79" i="4"/>
  <c r="M79" i="4"/>
  <c r="N79" i="4"/>
  <c r="O79" i="4"/>
  <c r="P79" i="4"/>
  <c r="Q79" i="4"/>
  <c r="R79" i="4"/>
  <c r="S79" i="4"/>
  <c r="T79" i="4"/>
  <c r="U79" i="4"/>
  <c r="V79" i="4"/>
  <c r="K79" i="4"/>
  <c r="K22" i="4"/>
  <c r="K29" i="4"/>
  <c r="K42" i="4"/>
  <c r="K63" i="4"/>
  <c r="L63" i="4"/>
  <c r="M63" i="4"/>
  <c r="N63" i="4"/>
  <c r="O63" i="4"/>
  <c r="P63" i="4"/>
  <c r="Q63" i="4"/>
  <c r="R63" i="4"/>
  <c r="S63" i="4"/>
  <c r="T63" i="4"/>
  <c r="U63" i="4"/>
  <c r="V63" i="4"/>
  <c r="V58" i="4"/>
  <c r="U58" i="4"/>
  <c r="T58" i="4"/>
  <c r="S58" i="4"/>
  <c r="R58" i="4"/>
  <c r="Q58" i="4"/>
  <c r="P58" i="4"/>
  <c r="O58" i="4"/>
  <c r="N58" i="4"/>
  <c r="M58" i="4"/>
  <c r="L58" i="4"/>
  <c r="K58" i="4"/>
  <c r="V57" i="4"/>
  <c r="U57" i="4"/>
  <c r="T57" i="4"/>
  <c r="S57" i="4"/>
  <c r="R57" i="4"/>
  <c r="Q57" i="4"/>
  <c r="P57" i="4"/>
  <c r="O57" i="4"/>
  <c r="N57" i="4"/>
  <c r="M57" i="4"/>
  <c r="L57" i="4"/>
  <c r="K57" i="4"/>
  <c r="V52" i="4"/>
  <c r="U52" i="4"/>
  <c r="T52" i="4"/>
  <c r="S52" i="4"/>
  <c r="R52" i="4"/>
  <c r="Q52" i="4"/>
  <c r="P52" i="4"/>
  <c r="O52" i="4"/>
  <c r="N52" i="4"/>
  <c r="M52" i="4"/>
  <c r="L52" i="4"/>
  <c r="K52" i="4"/>
  <c r="V51" i="4"/>
  <c r="U51" i="4"/>
  <c r="T51" i="4"/>
  <c r="S51" i="4"/>
  <c r="R51" i="4"/>
  <c r="Q51" i="4"/>
  <c r="P51" i="4"/>
  <c r="O51" i="4"/>
  <c r="N51" i="4"/>
  <c r="M51" i="4"/>
  <c r="L51" i="4"/>
  <c r="K51" i="4"/>
  <c r="V50" i="4"/>
  <c r="H51" i="4"/>
  <c r="V42" i="4"/>
  <c r="U42" i="4"/>
  <c r="T42" i="4"/>
  <c r="S42" i="4"/>
  <c r="R42" i="4"/>
  <c r="Q42" i="4"/>
  <c r="P42" i="4"/>
  <c r="O42" i="4"/>
  <c r="N42" i="4"/>
  <c r="M42" i="4"/>
  <c r="L42" i="4"/>
  <c r="L30" i="4"/>
  <c r="V37" i="4"/>
  <c r="U37" i="4"/>
  <c r="T37" i="4"/>
  <c r="S37" i="4"/>
  <c r="R37" i="4"/>
  <c r="Q37" i="4"/>
  <c r="P37" i="4"/>
  <c r="O37" i="4"/>
  <c r="N37" i="4"/>
  <c r="M37" i="4"/>
  <c r="L37" i="4"/>
  <c r="K37" i="4"/>
  <c r="V36" i="4"/>
  <c r="U36" i="4"/>
  <c r="T36" i="4"/>
  <c r="S36" i="4"/>
  <c r="R36" i="4"/>
  <c r="Q36" i="4"/>
  <c r="P36" i="4"/>
  <c r="O36" i="4"/>
  <c r="N36" i="4"/>
  <c r="M36" i="4"/>
  <c r="L36" i="4"/>
  <c r="K36" i="4"/>
  <c r="H36" i="4"/>
  <c r="V29" i="4"/>
  <c r="U29" i="4"/>
  <c r="T29" i="4"/>
  <c r="S29" i="4"/>
  <c r="R29" i="4"/>
  <c r="Q29" i="4"/>
  <c r="P29" i="4"/>
  <c r="O29" i="4"/>
  <c r="N29" i="4"/>
  <c r="M29" i="4"/>
  <c r="L29" i="4"/>
  <c r="V23" i="4"/>
  <c r="U23" i="4"/>
  <c r="T23" i="4"/>
  <c r="S23" i="4"/>
  <c r="R23" i="4"/>
  <c r="Q23" i="4"/>
  <c r="P23" i="4"/>
  <c r="O23" i="4"/>
  <c r="N23" i="4"/>
  <c r="M23" i="4"/>
  <c r="L23" i="4"/>
  <c r="K23" i="4"/>
  <c r="H23" i="4"/>
  <c r="U22" i="4"/>
  <c r="T22" i="4"/>
  <c r="S22" i="4"/>
  <c r="R22" i="4"/>
  <c r="Q22" i="4"/>
  <c r="P22" i="4"/>
  <c r="O22" i="4"/>
  <c r="M22" i="4"/>
  <c r="L22" i="4"/>
  <c r="N22" i="4"/>
  <c r="V17" i="4"/>
  <c r="U17" i="4"/>
  <c r="T17" i="4"/>
  <c r="S17" i="4"/>
  <c r="R17" i="4"/>
  <c r="Q17" i="4"/>
  <c r="P17" i="4"/>
  <c r="O17" i="4"/>
  <c r="N17" i="4"/>
  <c r="M17" i="4"/>
  <c r="L17" i="4"/>
  <c r="K17" i="4"/>
  <c r="V16" i="4"/>
  <c r="U16" i="4"/>
  <c r="T16" i="4"/>
  <c r="S16" i="4"/>
  <c r="R16" i="4"/>
  <c r="Q16" i="4"/>
  <c r="P16" i="4"/>
  <c r="O16" i="4"/>
  <c r="N16" i="4"/>
  <c r="M16" i="4"/>
  <c r="L16" i="4"/>
  <c r="K16" i="4"/>
  <c r="F15" i="4"/>
  <c r="S15" i="4" s="1"/>
  <c r="K10" i="4"/>
  <c r="V10" i="4"/>
  <c r="U10" i="4"/>
  <c r="T10" i="4"/>
  <c r="S10" i="4"/>
  <c r="R10" i="4"/>
  <c r="Q10" i="4"/>
  <c r="P10" i="4"/>
  <c r="O10" i="4"/>
  <c r="N10" i="4"/>
  <c r="M10" i="4"/>
  <c r="L10" i="4"/>
  <c r="V9" i="4"/>
  <c r="U9" i="4"/>
  <c r="T9" i="4"/>
  <c r="S9" i="4"/>
  <c r="R9" i="4"/>
  <c r="Q9" i="4"/>
  <c r="P9" i="4"/>
  <c r="O9" i="4"/>
  <c r="N9" i="4"/>
  <c r="M9" i="4"/>
  <c r="L9" i="4"/>
  <c r="K9" i="4"/>
  <c r="O179" i="4" l="1"/>
  <c r="P179" i="4"/>
  <c r="Q179" i="4"/>
  <c r="N179" i="4"/>
  <c r="T179" i="4"/>
  <c r="L179" i="4"/>
  <c r="R179" i="4"/>
  <c r="S179" i="4"/>
  <c r="U179" i="4"/>
  <c r="V179" i="4"/>
  <c r="K179" i="4"/>
  <c r="M179" i="4"/>
  <c r="W188" i="4"/>
  <c r="W189" i="4"/>
  <c r="W129" i="4"/>
  <c r="W107" i="4"/>
  <c r="W105" i="4"/>
  <c r="W104" i="4"/>
  <c r="W91" i="4"/>
  <c r="W90" i="4"/>
  <c r="W42" i="4"/>
  <c r="W89" i="4"/>
  <c r="M15" i="4"/>
  <c r="W51" i="4"/>
  <c r="L15" i="4"/>
  <c r="V15" i="4"/>
  <c r="W63" i="4"/>
  <c r="N15" i="4"/>
  <c r="P15" i="4"/>
  <c r="W36" i="4"/>
  <c r="R15" i="4"/>
  <c r="Q15" i="4"/>
  <c r="T15" i="4"/>
  <c r="K15" i="4"/>
  <c r="U15" i="4"/>
  <c r="W23" i="4"/>
  <c r="W29" i="4"/>
  <c r="V22" i="4"/>
  <c r="W22" i="4" s="1"/>
  <c r="O15" i="4"/>
  <c r="AF53" i="2" l="1"/>
  <c r="AF55" i="2" s="1"/>
  <c r="K65" i="3"/>
  <c r="J65" i="3"/>
  <c r="Y65" i="3" s="1"/>
  <c r="AA65" i="3" s="1"/>
  <c r="AC65" i="3" s="1"/>
  <c r="AE65" i="3" s="1"/>
  <c r="H65" i="3"/>
  <c r="J30" i="3"/>
  <c r="Y30" i="3" s="1"/>
  <c r="H30" i="3"/>
  <c r="J29" i="3"/>
  <c r="Y29" i="3" s="1"/>
  <c r="AA29" i="3" s="1"/>
  <c r="AC29" i="3" s="1"/>
  <c r="AE29" i="3" s="1"/>
  <c r="H29" i="3"/>
  <c r="AA30" i="3" l="1"/>
  <c r="AC30" i="3" s="1"/>
  <c r="AE30" i="3" s="1"/>
  <c r="AF57" i="2"/>
  <c r="AG57" i="2"/>
  <c r="K29" i="3"/>
  <c r="K30" i="3"/>
  <c r="H15" i="1" l="1"/>
  <c r="F16" i="1"/>
  <c r="L15" i="1" l="1"/>
  <c r="H71" i="3" l="1"/>
  <c r="H70" i="3"/>
  <c r="H64" i="3"/>
  <c r="H59" i="3"/>
  <c r="H58" i="3"/>
  <c r="H57" i="3"/>
  <c r="H52" i="3"/>
  <c r="H51" i="3"/>
  <c r="H46" i="3"/>
  <c r="H45" i="3"/>
  <c r="H40" i="3"/>
  <c r="H39" i="3"/>
  <c r="H38" i="3"/>
  <c r="H33" i="3"/>
  <c r="H32" i="3"/>
  <c r="H31" i="3"/>
  <c r="H24" i="3"/>
  <c r="H23" i="3"/>
  <c r="H18" i="3"/>
  <c r="H12" i="3"/>
  <c r="H11" i="3"/>
  <c r="P15" i="1" l="1"/>
  <c r="N15" i="1"/>
  <c r="A2" i="16" l="1"/>
  <c r="A2" i="17" l="1"/>
  <c r="A2" i="11"/>
  <c r="E41" i="16" l="1"/>
  <c r="A3" i="16"/>
  <c r="F38" i="16" l="1"/>
  <c r="G38" i="16"/>
  <c r="E42" i="16" l="1"/>
  <c r="E38" i="16" l="1"/>
  <c r="F4" i="5"/>
  <c r="G4" i="5" s="1"/>
  <c r="H4" i="5" s="1"/>
  <c r="I4" i="5" s="1"/>
  <c r="J4" i="5" s="1"/>
  <c r="K4" i="5" s="1"/>
  <c r="L4" i="5" s="1"/>
  <c r="M4" i="5" s="1"/>
  <c r="N4" i="5" s="1"/>
  <c r="O4" i="5" s="1"/>
  <c r="P4" i="5" s="1"/>
  <c r="S8" i="5"/>
  <c r="S9" i="5"/>
  <c r="S10" i="5"/>
  <c r="S11" i="5"/>
  <c r="S12" i="5"/>
  <c r="E13" i="5"/>
  <c r="F13" i="5"/>
  <c r="G13" i="5"/>
  <c r="H13" i="5"/>
  <c r="H27" i="5" s="1"/>
  <c r="I13" i="5"/>
  <c r="J13" i="5"/>
  <c r="J27" i="5" s="1"/>
  <c r="K13" i="5"/>
  <c r="L13" i="5"/>
  <c r="M13" i="5"/>
  <c r="M27" i="5" s="1"/>
  <c r="N13" i="5"/>
  <c r="O13" i="5"/>
  <c r="P13" i="5"/>
  <c r="Q13" i="5"/>
  <c r="Q27" i="5" s="1"/>
  <c r="S15" i="5"/>
  <c r="S16" i="5"/>
  <c r="E17" i="5"/>
  <c r="F17" i="5"/>
  <c r="G17" i="5"/>
  <c r="H17" i="5"/>
  <c r="I17" i="5"/>
  <c r="J17" i="5"/>
  <c r="K17" i="5"/>
  <c r="L17" i="5"/>
  <c r="M17" i="5"/>
  <c r="N17" i="5"/>
  <c r="N27" i="5" s="1"/>
  <c r="O17" i="5"/>
  <c r="P17" i="5"/>
  <c r="Q17" i="5"/>
  <c r="S19" i="5"/>
  <c r="S20" i="5"/>
  <c r="S2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S24" i="5"/>
  <c r="S25" i="5" s="1"/>
  <c r="E25" i="5"/>
  <c r="F25" i="5"/>
  <c r="G25" i="5"/>
  <c r="H25" i="5"/>
  <c r="I25" i="5"/>
  <c r="J25" i="5"/>
  <c r="K25" i="5"/>
  <c r="K27" i="5" s="1"/>
  <c r="L25" i="5"/>
  <c r="M25" i="5"/>
  <c r="N25" i="5"/>
  <c r="O25" i="5"/>
  <c r="O27" i="5" s="1"/>
  <c r="P25" i="5"/>
  <c r="Q25" i="5"/>
  <c r="S31" i="5"/>
  <c r="S32" i="5"/>
  <c r="S33" i="5"/>
  <c r="S34" i="5"/>
  <c r="S35" i="5"/>
  <c r="S36" i="5"/>
  <c r="S37" i="5"/>
  <c r="S38" i="5"/>
  <c r="S39" i="5"/>
  <c r="S40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S64" i="5"/>
  <c r="S65" i="5"/>
  <c r="S66" i="5"/>
  <c r="S67" i="5"/>
  <c r="S68" i="5"/>
  <c r="S69" i="5"/>
  <c r="S70" i="5"/>
  <c r="S71" i="5"/>
  <c r="S72" i="5"/>
  <c r="S73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S76" i="5"/>
  <c r="S77" i="5"/>
  <c r="S78" i="5"/>
  <c r="S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S82" i="5"/>
  <c r="S83" i="5"/>
  <c r="S84" i="5"/>
  <c r="S85" i="5"/>
  <c r="S86" i="5"/>
  <c r="S87" i="5"/>
  <c r="S88" i="5"/>
  <c r="S89" i="5"/>
  <c r="S90" i="5"/>
  <c r="S91" i="5"/>
  <c r="S92" i="5"/>
  <c r="S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S96" i="5"/>
  <c r="S97" i="5"/>
  <c r="S98" i="5"/>
  <c r="S99" i="5"/>
  <c r="S100" i="5"/>
  <c r="S101" i="5"/>
  <c r="S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E105" i="5"/>
  <c r="F105" i="5"/>
  <c r="F106" i="5" s="1"/>
  <c r="G105" i="5"/>
  <c r="G106" i="5" s="1"/>
  <c r="H105" i="5"/>
  <c r="I105" i="5"/>
  <c r="I106" i="5" s="1"/>
  <c r="J105" i="5"/>
  <c r="K105" i="5"/>
  <c r="L105" i="5"/>
  <c r="M105" i="5"/>
  <c r="N105" i="5"/>
  <c r="N106" i="5" s="1"/>
  <c r="O105" i="5"/>
  <c r="O106" i="5" s="1"/>
  <c r="P105" i="5"/>
  <c r="P106" i="5" s="1"/>
  <c r="H106" i="5"/>
  <c r="J106" i="5"/>
  <c r="K106" i="5"/>
  <c r="L106" i="5"/>
  <c r="M106" i="5"/>
  <c r="Q106" i="5"/>
  <c r="S108" i="5"/>
  <c r="S109" i="5" s="1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E111" i="5"/>
  <c r="F111" i="5"/>
  <c r="G111" i="5"/>
  <c r="H111" i="5"/>
  <c r="I111" i="5"/>
  <c r="J111" i="5"/>
  <c r="J113" i="5" s="1"/>
  <c r="K111" i="5"/>
  <c r="L111" i="5"/>
  <c r="M111" i="5"/>
  <c r="M113" i="5" s="1"/>
  <c r="N111" i="5"/>
  <c r="N113" i="5" s="1"/>
  <c r="O111" i="5"/>
  <c r="O113" i="5" s="1"/>
  <c r="P111" i="5"/>
  <c r="E112" i="5"/>
  <c r="F112" i="5"/>
  <c r="F113" i="5" s="1"/>
  <c r="G112" i="5"/>
  <c r="G113" i="5" s="1"/>
  <c r="H112" i="5"/>
  <c r="I112" i="5"/>
  <c r="J112" i="5"/>
  <c r="K112" i="5"/>
  <c r="L112" i="5"/>
  <c r="M112" i="5"/>
  <c r="N112" i="5"/>
  <c r="O112" i="5"/>
  <c r="P112" i="5"/>
  <c r="P113" i="5"/>
  <c r="Q113" i="5"/>
  <c r="E139" i="5"/>
  <c r="F7" i="16"/>
  <c r="F158" i="5"/>
  <c r="G158" i="5"/>
  <c r="H158" i="5"/>
  <c r="I158" i="5"/>
  <c r="J158" i="5"/>
  <c r="K158" i="5"/>
  <c r="L158" i="5"/>
  <c r="M158" i="5"/>
  <c r="N158" i="5"/>
  <c r="O158" i="5"/>
  <c r="P158" i="5"/>
  <c r="F159" i="5"/>
  <c r="G159" i="5"/>
  <c r="H159" i="5"/>
  <c r="I159" i="5"/>
  <c r="J159" i="5"/>
  <c r="K159" i="5"/>
  <c r="L159" i="5"/>
  <c r="M159" i="5"/>
  <c r="N159" i="5"/>
  <c r="O159" i="5"/>
  <c r="P159" i="5"/>
  <c r="E159" i="5"/>
  <c r="E158" i="5"/>
  <c r="L27" i="5" l="1"/>
  <c r="I27" i="5"/>
  <c r="G27" i="5"/>
  <c r="K113" i="5"/>
  <c r="S94" i="5"/>
  <c r="S80" i="5"/>
  <c r="S74" i="5"/>
  <c r="J115" i="5"/>
  <c r="J117" i="5" s="1"/>
  <c r="J120" i="5" s="1"/>
  <c r="J138" i="5" s="1"/>
  <c r="E113" i="5"/>
  <c r="S112" i="5"/>
  <c r="S41" i="5"/>
  <c r="Q115" i="5"/>
  <c r="Q117" i="5" s="1"/>
  <c r="Q120" i="5" s="1"/>
  <c r="E27" i="5"/>
  <c r="S103" i="5"/>
  <c r="P115" i="5"/>
  <c r="G115" i="5"/>
  <c r="G117" i="5" s="1"/>
  <c r="G120" i="5" s="1"/>
  <c r="G138" i="5" s="1"/>
  <c r="F115" i="5"/>
  <c r="S62" i="5"/>
  <c r="S17" i="5"/>
  <c r="L113" i="5"/>
  <c r="L115" i="5" s="1"/>
  <c r="L117" i="5" s="1"/>
  <c r="L120" i="5" s="1"/>
  <c r="L138" i="5" s="1"/>
  <c r="S22" i="5"/>
  <c r="F27" i="5"/>
  <c r="F117" i="5" s="1"/>
  <c r="F120" i="5" s="1"/>
  <c r="F138" i="5" s="1"/>
  <c r="P27" i="5"/>
  <c r="I113" i="5"/>
  <c r="M115" i="5"/>
  <c r="M117" i="5" s="1"/>
  <c r="M120" i="5" s="1"/>
  <c r="M138" i="5" s="1"/>
  <c r="K115" i="5"/>
  <c r="K117" i="5" s="1"/>
  <c r="K120" i="5" s="1"/>
  <c r="K138" i="5" s="1"/>
  <c r="N115" i="5"/>
  <c r="N117" i="5" s="1"/>
  <c r="N120" i="5" s="1"/>
  <c r="N138" i="5" s="1"/>
  <c r="I115" i="5"/>
  <c r="I117" i="5" s="1"/>
  <c r="I120" i="5" s="1"/>
  <c r="I138" i="5" s="1"/>
  <c r="S13" i="5"/>
  <c r="E106" i="5"/>
  <c r="E115" i="5" s="1"/>
  <c r="E117" i="5" s="1"/>
  <c r="E120" i="5" s="1"/>
  <c r="E138" i="5" s="1"/>
  <c r="E141" i="5" s="1"/>
  <c r="F139" i="5" s="1"/>
  <c r="O115" i="5"/>
  <c r="O117" i="5" s="1"/>
  <c r="O120" i="5" s="1"/>
  <c r="O138" i="5" s="1"/>
  <c r="S105" i="5"/>
  <c r="S106" i="5" s="1"/>
  <c r="H113" i="5"/>
  <c r="H115" i="5" s="1"/>
  <c r="H117" i="5" s="1"/>
  <c r="H120" i="5" s="1"/>
  <c r="H138" i="5" s="1"/>
  <c r="S111" i="5"/>
  <c r="F37" i="16"/>
  <c r="E37" i="16"/>
  <c r="P117" i="5" l="1"/>
  <c r="P120" i="5" s="1"/>
  <c r="P138" i="5" s="1"/>
  <c r="S113" i="5"/>
  <c r="S115" i="5"/>
  <c r="S27" i="5"/>
  <c r="F141" i="5"/>
  <c r="G139" i="5" s="1"/>
  <c r="G141" i="5" s="1"/>
  <c r="H139" i="5" s="1"/>
  <c r="H141" i="5" s="1"/>
  <c r="I139" i="5" s="1"/>
  <c r="I141" i="5" s="1"/>
  <c r="J139" i="5" s="1"/>
  <c r="J141" i="5" s="1"/>
  <c r="K139" i="5" s="1"/>
  <c r="K141" i="5" s="1"/>
  <c r="L139" i="5" s="1"/>
  <c r="L141" i="5" s="1"/>
  <c r="M139" i="5" s="1"/>
  <c r="M141" i="5" s="1"/>
  <c r="N139" i="5" s="1"/>
  <c r="N141" i="5" s="1"/>
  <c r="O139" i="5" s="1"/>
  <c r="O141" i="5" s="1"/>
  <c r="P139" i="5" s="1"/>
  <c r="P141" i="5" s="1"/>
  <c r="S117" i="5" l="1"/>
  <c r="X6" i="3"/>
  <c r="K6" i="3"/>
  <c r="J6" i="3"/>
  <c r="E4" i="7"/>
  <c r="E4" i="6"/>
  <c r="G7" i="16" s="1"/>
  <c r="G37" i="16" s="1"/>
  <c r="E4" i="10" l="1"/>
  <c r="E4" i="9"/>
  <c r="E4" i="8"/>
  <c r="J9" i="3" l="1"/>
  <c r="Y9" i="3" l="1"/>
  <c r="AD6" i="3"/>
  <c r="AE69" i="3" s="1"/>
  <c r="AB6" i="3"/>
  <c r="AC69" i="3" s="1"/>
  <c r="Z6" i="3"/>
  <c r="AA63" i="3" s="1"/>
  <c r="Y22" i="3"/>
  <c r="J63" i="3"/>
  <c r="Y83" i="3"/>
  <c r="Z69" i="3"/>
  <c r="AB69" i="3" s="1"/>
  <c r="AD69" i="3" s="1"/>
  <c r="Z63" i="3"/>
  <c r="AB63" i="3" s="1"/>
  <c r="AD63" i="3" s="1"/>
  <c r="Z56" i="3"/>
  <c r="AB56" i="3" s="1"/>
  <c r="AD56" i="3" s="1"/>
  <c r="Z50" i="3"/>
  <c r="AB50" i="3" s="1"/>
  <c r="AD50" i="3" s="1"/>
  <c r="Z44" i="3"/>
  <c r="AB44" i="3" s="1"/>
  <c r="AD44" i="3" s="1"/>
  <c r="Z37" i="3"/>
  <c r="AB37" i="3" s="1"/>
  <c r="AD37" i="3" s="1"/>
  <c r="X22" i="3"/>
  <c r="Z22" i="3" s="1"/>
  <c r="AB22" i="3" s="1"/>
  <c r="AD22" i="3" s="1"/>
  <c r="Z28" i="3"/>
  <c r="AB28" i="3" s="1"/>
  <c r="AD28" i="3" s="1"/>
  <c r="X16" i="3"/>
  <c r="Z16" i="3" s="1"/>
  <c r="AB16" i="3" s="1"/>
  <c r="AD16" i="3" s="1"/>
  <c r="K44" i="3"/>
  <c r="AA44" i="3" l="1"/>
  <c r="AA69" i="3"/>
  <c r="AA16" i="3"/>
  <c r="AA22" i="3"/>
  <c r="AE28" i="3"/>
  <c r="AE37" i="3"/>
  <c r="AE44" i="3"/>
  <c r="AE9" i="3"/>
  <c r="AE50" i="3"/>
  <c r="AE56" i="3"/>
  <c r="AE16" i="3"/>
  <c r="AE63" i="3"/>
  <c r="AE22" i="3"/>
  <c r="AC50" i="3"/>
  <c r="AC22" i="3"/>
  <c r="AC16" i="3"/>
  <c r="AC63" i="3"/>
  <c r="AC37" i="3"/>
  <c r="AC44" i="3"/>
  <c r="AC56" i="3"/>
  <c r="AC28" i="3"/>
  <c r="AC9" i="3"/>
  <c r="AA50" i="3"/>
  <c r="AA28" i="3"/>
  <c r="AA56" i="3"/>
  <c r="AA9" i="3"/>
  <c r="AA37" i="3"/>
  <c r="Y56" i="3"/>
  <c r="Y69" i="3"/>
  <c r="Y50" i="3"/>
  <c r="Y28" i="3"/>
  <c r="Y37" i="3"/>
  <c r="Y16" i="3"/>
  <c r="Y63" i="3"/>
  <c r="Y44" i="3"/>
  <c r="K16" i="3"/>
  <c r="K28" i="3"/>
  <c r="K50" i="3"/>
  <c r="K9" i="3"/>
  <c r="K22" i="3"/>
  <c r="K37" i="3"/>
  <c r="J69" i="3"/>
  <c r="J22" i="3"/>
  <c r="J50" i="3"/>
  <c r="J28" i="3"/>
  <c r="J56" i="3"/>
  <c r="J16" i="3"/>
  <c r="J37" i="3"/>
  <c r="J44" i="3"/>
  <c r="M4" i="6" l="1"/>
  <c r="K4" i="6"/>
  <c r="I4" i="6"/>
  <c r="G4" i="6"/>
  <c r="F23" i="2" l="1"/>
  <c r="F22" i="2"/>
  <c r="F24" i="2" s="1"/>
  <c r="F8" i="4" s="1"/>
  <c r="L8" i="4" l="1"/>
  <c r="T8" i="4"/>
  <c r="S8" i="4"/>
  <c r="R8" i="4"/>
  <c r="M8" i="4"/>
  <c r="P8" i="4"/>
  <c r="K8" i="4"/>
  <c r="U8" i="4"/>
  <c r="Q8" i="4"/>
  <c r="V8" i="4"/>
  <c r="O8" i="4"/>
  <c r="N8" i="4"/>
  <c r="H22" i="2"/>
  <c r="A2" i="10"/>
  <c r="A2" i="9"/>
  <c r="A2" i="8"/>
  <c r="A2" i="7"/>
  <c r="A2" i="1"/>
  <c r="L73" i="3" l="1"/>
  <c r="E40" i="1" s="1"/>
  <c r="L67" i="3"/>
  <c r="E39" i="1" s="1"/>
  <c r="L61" i="3"/>
  <c r="E38" i="1" s="1"/>
  <c r="L54" i="3"/>
  <c r="E37" i="1" s="1"/>
  <c r="L48" i="3"/>
  <c r="E36" i="1" s="1"/>
  <c r="L42" i="3"/>
  <c r="E35" i="1" s="1"/>
  <c r="M73" i="3" l="1"/>
  <c r="F40" i="1" s="1"/>
  <c r="N73" i="3"/>
  <c r="G40" i="1" s="1"/>
  <c r="O73" i="3"/>
  <c r="H40" i="1" s="1"/>
  <c r="P73" i="3"/>
  <c r="I40" i="1" s="1"/>
  <c r="Q73" i="3"/>
  <c r="J40" i="1" s="1"/>
  <c r="R73" i="3"/>
  <c r="K40" i="1" s="1"/>
  <c r="S73" i="3"/>
  <c r="L40" i="1" s="1"/>
  <c r="T73" i="3"/>
  <c r="M40" i="1" s="1"/>
  <c r="U73" i="3"/>
  <c r="N40" i="1" s="1"/>
  <c r="V73" i="3"/>
  <c r="O40" i="1" s="1"/>
  <c r="W73" i="3"/>
  <c r="M67" i="3"/>
  <c r="F39" i="1" s="1"/>
  <c r="N67" i="3"/>
  <c r="G39" i="1" s="1"/>
  <c r="O67" i="3"/>
  <c r="H39" i="1" s="1"/>
  <c r="P67" i="3"/>
  <c r="I39" i="1" s="1"/>
  <c r="Q67" i="3"/>
  <c r="J39" i="1" s="1"/>
  <c r="R67" i="3"/>
  <c r="K39" i="1" s="1"/>
  <c r="S67" i="3"/>
  <c r="L39" i="1" s="1"/>
  <c r="T67" i="3"/>
  <c r="M39" i="1" s="1"/>
  <c r="U67" i="3"/>
  <c r="N39" i="1" s="1"/>
  <c r="V67" i="3"/>
  <c r="O39" i="1" s="1"/>
  <c r="W67" i="3"/>
  <c r="P39" i="1" s="1"/>
  <c r="M61" i="3"/>
  <c r="F38" i="1" s="1"/>
  <c r="N61" i="3"/>
  <c r="G38" i="1" s="1"/>
  <c r="O61" i="3"/>
  <c r="H38" i="1" s="1"/>
  <c r="P61" i="3"/>
  <c r="I38" i="1" s="1"/>
  <c r="Q61" i="3"/>
  <c r="J38" i="1" s="1"/>
  <c r="R61" i="3"/>
  <c r="K38" i="1" s="1"/>
  <c r="S61" i="3"/>
  <c r="L38" i="1" s="1"/>
  <c r="T61" i="3"/>
  <c r="M38" i="1" s="1"/>
  <c r="U61" i="3"/>
  <c r="N38" i="1" s="1"/>
  <c r="V61" i="3"/>
  <c r="O38" i="1" s="1"/>
  <c r="W61" i="3"/>
  <c r="P38" i="1" s="1"/>
  <c r="M54" i="3"/>
  <c r="F37" i="1" s="1"/>
  <c r="N54" i="3"/>
  <c r="G37" i="1" s="1"/>
  <c r="O54" i="3"/>
  <c r="H37" i="1" s="1"/>
  <c r="P54" i="3"/>
  <c r="I37" i="1" s="1"/>
  <c r="Q54" i="3"/>
  <c r="J37" i="1" s="1"/>
  <c r="R54" i="3"/>
  <c r="K37" i="1" s="1"/>
  <c r="S54" i="3"/>
  <c r="L37" i="1" s="1"/>
  <c r="T54" i="3"/>
  <c r="M37" i="1" s="1"/>
  <c r="U54" i="3"/>
  <c r="N37" i="1" s="1"/>
  <c r="V54" i="3"/>
  <c r="O37" i="1" s="1"/>
  <c r="W54" i="3"/>
  <c r="P37" i="1" s="1"/>
  <c r="M48" i="3"/>
  <c r="F36" i="1" s="1"/>
  <c r="N48" i="3"/>
  <c r="G36" i="1" s="1"/>
  <c r="O48" i="3"/>
  <c r="H36" i="1" s="1"/>
  <c r="P48" i="3"/>
  <c r="I36" i="1" s="1"/>
  <c r="Q48" i="3"/>
  <c r="J36" i="1" s="1"/>
  <c r="R48" i="3"/>
  <c r="K36" i="1" s="1"/>
  <c r="S48" i="3"/>
  <c r="L36" i="1" s="1"/>
  <c r="T48" i="3"/>
  <c r="M36" i="1" s="1"/>
  <c r="U48" i="3"/>
  <c r="N36" i="1" s="1"/>
  <c r="V48" i="3"/>
  <c r="O36" i="1" s="1"/>
  <c r="W48" i="3"/>
  <c r="P36" i="1" s="1"/>
  <c r="M42" i="3"/>
  <c r="F35" i="1" s="1"/>
  <c r="N42" i="3"/>
  <c r="G35" i="1" s="1"/>
  <c r="O42" i="3"/>
  <c r="H35" i="1" s="1"/>
  <c r="P42" i="3"/>
  <c r="I35" i="1" s="1"/>
  <c r="Q42" i="3"/>
  <c r="J35" i="1" s="1"/>
  <c r="R42" i="3"/>
  <c r="K35" i="1" s="1"/>
  <c r="S42" i="3"/>
  <c r="L35" i="1" s="1"/>
  <c r="T42" i="3"/>
  <c r="M35" i="1" s="1"/>
  <c r="U42" i="3"/>
  <c r="N35" i="1" s="1"/>
  <c r="V42" i="3"/>
  <c r="O35" i="1" s="1"/>
  <c r="W42" i="3"/>
  <c r="P35" i="1" s="1"/>
  <c r="I26" i="3"/>
  <c r="I14" i="3"/>
  <c r="F93" i="3"/>
  <c r="F81" i="3"/>
  <c r="N96" i="3" l="1"/>
  <c r="G43" i="1" s="1"/>
  <c r="L98" i="3"/>
  <c r="L97" i="3"/>
  <c r="L96" i="3"/>
  <c r="N118" i="3"/>
  <c r="G59" i="1" s="1"/>
  <c r="L118" i="3"/>
  <c r="W97" i="3"/>
  <c r="P44" i="1" s="1"/>
  <c r="U97" i="3"/>
  <c r="N44" i="1" s="1"/>
  <c r="E43" i="1"/>
  <c r="T97" i="3"/>
  <c r="M44" i="1" s="1"/>
  <c r="V97" i="3"/>
  <c r="O44" i="1" s="1"/>
  <c r="E44" i="1"/>
  <c r="R97" i="3"/>
  <c r="K44" i="1" s="1"/>
  <c r="E45" i="1"/>
  <c r="Q97" i="3"/>
  <c r="J44" i="1" s="1"/>
  <c r="P97" i="3"/>
  <c r="I44" i="1" s="1"/>
  <c r="N97" i="3"/>
  <c r="G44" i="1" s="1"/>
  <c r="U96" i="3"/>
  <c r="N43" i="1" s="1"/>
  <c r="T96" i="3"/>
  <c r="M43" i="1" s="1"/>
  <c r="W98" i="3"/>
  <c r="P45" i="1" s="1"/>
  <c r="R96" i="3"/>
  <c r="V98" i="3"/>
  <c r="O45" i="1" s="1"/>
  <c r="Q96" i="3"/>
  <c r="J43" i="1" s="1"/>
  <c r="U98" i="3"/>
  <c r="N45" i="1" s="1"/>
  <c r="P96" i="3"/>
  <c r="I43" i="1" s="1"/>
  <c r="S98" i="3"/>
  <c r="L45" i="1" s="1"/>
  <c r="O96" i="3"/>
  <c r="H43" i="1" s="1"/>
  <c r="O98" i="3"/>
  <c r="H45" i="1" s="1"/>
  <c r="M96" i="3"/>
  <c r="F43" i="1" s="1"/>
  <c r="P40" i="1"/>
  <c r="N98" i="3"/>
  <c r="G45" i="1" s="1"/>
  <c r="W120" i="3"/>
  <c r="P61" i="1" s="1"/>
  <c r="R119" i="3"/>
  <c r="K60" i="1" s="1"/>
  <c r="M118" i="3"/>
  <c r="T98" i="3"/>
  <c r="M45" i="1" s="1"/>
  <c r="O97" i="3"/>
  <c r="H44" i="1" s="1"/>
  <c r="V120" i="3"/>
  <c r="O61" i="1" s="1"/>
  <c r="Q119" i="3"/>
  <c r="J60" i="1" s="1"/>
  <c r="U120" i="3"/>
  <c r="N61" i="1" s="1"/>
  <c r="P119" i="3"/>
  <c r="I60" i="1" s="1"/>
  <c r="T120" i="3"/>
  <c r="M61" i="1" s="1"/>
  <c r="O119" i="3"/>
  <c r="H60" i="1" s="1"/>
  <c r="R98" i="3"/>
  <c r="K45" i="1" s="1"/>
  <c r="Q98" i="3"/>
  <c r="J45" i="1" s="1"/>
  <c r="W96" i="3"/>
  <c r="S120" i="3"/>
  <c r="L61" i="1" s="1"/>
  <c r="N119" i="3"/>
  <c r="G60" i="1" s="1"/>
  <c r="M97" i="3"/>
  <c r="P98" i="3"/>
  <c r="V96" i="3"/>
  <c r="R120" i="3"/>
  <c r="K61" i="1" s="1"/>
  <c r="M119" i="3"/>
  <c r="F60" i="1" s="1"/>
  <c r="Q120" i="3"/>
  <c r="J61" i="1" s="1"/>
  <c r="W118" i="3"/>
  <c r="P120" i="3"/>
  <c r="I61" i="1" s="1"/>
  <c r="V118" i="3"/>
  <c r="O59" i="1" s="1"/>
  <c r="M98" i="3"/>
  <c r="F45" i="1" s="1"/>
  <c r="S96" i="3"/>
  <c r="O120" i="3"/>
  <c r="H61" i="1" s="1"/>
  <c r="U118" i="3"/>
  <c r="N59" i="1" s="1"/>
  <c r="N120" i="3"/>
  <c r="G61" i="1" s="1"/>
  <c r="T118" i="3"/>
  <c r="M59" i="1" s="1"/>
  <c r="M120" i="3"/>
  <c r="F61" i="1" s="1"/>
  <c r="S118" i="3"/>
  <c r="L59" i="1" s="1"/>
  <c r="W119" i="3"/>
  <c r="P60" i="1" s="1"/>
  <c r="R118" i="3"/>
  <c r="K59" i="1" s="1"/>
  <c r="V119" i="3"/>
  <c r="O60" i="1" s="1"/>
  <c r="Q118" i="3"/>
  <c r="S97" i="3"/>
  <c r="L44" i="1" s="1"/>
  <c r="E59" i="1"/>
  <c r="U119" i="3"/>
  <c r="N60" i="1" s="1"/>
  <c r="P118" i="3"/>
  <c r="L119" i="3"/>
  <c r="E60" i="1" s="1"/>
  <c r="T119" i="3"/>
  <c r="M60" i="1" s="1"/>
  <c r="O118" i="3"/>
  <c r="L120" i="3"/>
  <c r="E61" i="1" s="1"/>
  <c r="S119" i="3"/>
  <c r="L60" i="1" s="1"/>
  <c r="O99" i="3" l="1"/>
  <c r="N99" i="3"/>
  <c r="M121" i="3"/>
  <c r="F59" i="1"/>
  <c r="Q121" i="3"/>
  <c r="J59" i="1"/>
  <c r="O121" i="3"/>
  <c r="H59" i="1"/>
  <c r="P121" i="3"/>
  <c r="I59" i="1"/>
  <c r="P99" i="3"/>
  <c r="I45" i="1"/>
  <c r="M99" i="3"/>
  <c r="F44" i="1"/>
  <c r="R99" i="3"/>
  <c r="K43" i="1"/>
  <c r="V99" i="3"/>
  <c r="O43" i="1"/>
  <c r="S99" i="3"/>
  <c r="L43" i="1"/>
  <c r="N121" i="3"/>
  <c r="L99" i="3"/>
  <c r="Q99" i="3"/>
  <c r="U99" i="3"/>
  <c r="V121" i="3"/>
  <c r="P59" i="1"/>
  <c r="W121" i="3"/>
  <c r="R121" i="3"/>
  <c r="U121" i="3"/>
  <c r="W99" i="3"/>
  <c r="P43" i="1"/>
  <c r="S121" i="3"/>
  <c r="T121" i="3"/>
  <c r="T99" i="3"/>
  <c r="W8" i="4"/>
  <c r="H8" i="4"/>
  <c r="W295" i="4" l="1"/>
  <c r="H295" i="4"/>
  <c r="W198" i="4"/>
  <c r="H37" i="4"/>
  <c r="H22" i="4"/>
  <c r="H17" i="4"/>
  <c r="H16" i="4"/>
  <c r="H15" i="4"/>
  <c r="H10" i="4"/>
  <c r="H9" i="4"/>
  <c r="R12" i="4"/>
  <c r="L64" i="1" s="1"/>
  <c r="Q12" i="4"/>
  <c r="K64" i="1" s="1"/>
  <c r="P12" i="4"/>
  <c r="J64" i="1" s="1"/>
  <c r="N12" i="4"/>
  <c r="H64" i="1" s="1"/>
  <c r="M12" i="4"/>
  <c r="G64" i="1" s="1"/>
  <c r="L12" i="4"/>
  <c r="F64" i="1" s="1"/>
  <c r="K12" i="4"/>
  <c r="E64" i="1" s="1"/>
  <c r="O12" i="4"/>
  <c r="I64" i="1" s="1"/>
  <c r="U12" i="4"/>
  <c r="O64" i="1" s="1"/>
  <c r="V12" i="4"/>
  <c r="P64" i="1" s="1"/>
  <c r="H12" i="4" l="1"/>
  <c r="S12" i="4"/>
  <c r="M64" i="1" s="1"/>
  <c r="T12" i="4"/>
  <c r="N64" i="1" s="1"/>
  <c r="W37" i="4"/>
  <c r="K38" i="3" l="1"/>
  <c r="J38" i="3"/>
  <c r="Y38" i="3" s="1"/>
  <c r="AA38" i="3" s="1"/>
  <c r="AC38" i="3" s="1"/>
  <c r="AE38" i="3" s="1"/>
  <c r="K39" i="3"/>
  <c r="J39" i="3"/>
  <c r="Y39" i="3" s="1"/>
  <c r="AA39" i="3" s="1"/>
  <c r="AC39" i="3" s="1"/>
  <c r="AE39" i="3" s="1"/>
  <c r="E36" i="11" l="1"/>
  <c r="V273" i="4"/>
  <c r="U273" i="4"/>
  <c r="T273" i="4"/>
  <c r="S273" i="4"/>
  <c r="R273" i="4"/>
  <c r="Q273" i="4"/>
  <c r="P273" i="4"/>
  <c r="O273" i="4"/>
  <c r="N273" i="4"/>
  <c r="M273" i="4"/>
  <c r="L273" i="4"/>
  <c r="K273" i="4"/>
  <c r="H273" i="4"/>
  <c r="H297" i="4"/>
  <c r="F200" i="4"/>
  <c r="F199" i="4"/>
  <c r="H177" i="4"/>
  <c r="H176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W142" i="4"/>
  <c r="W141" i="4"/>
  <c r="W140" i="4"/>
  <c r="W139" i="4"/>
  <c r="W101" i="4"/>
  <c r="W103" i="4"/>
  <c r="H103" i="4"/>
  <c r="W102" i="4"/>
  <c r="H102" i="4"/>
  <c r="W100" i="4"/>
  <c r="H100" i="4"/>
  <c r="W99" i="4"/>
  <c r="H99" i="4"/>
  <c r="H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H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F111" i="4"/>
  <c r="G111" i="4"/>
  <c r="W88" i="4"/>
  <c r="H88" i="4"/>
  <c r="W50" i="4"/>
  <c r="H50" i="4"/>
  <c r="X11" i="3"/>
  <c r="Z11" i="3" s="1"/>
  <c r="AB11" i="3" s="1"/>
  <c r="AD11" i="3" s="1"/>
  <c r="X10" i="3"/>
  <c r="Z10" i="3" s="1"/>
  <c r="AB10" i="3" s="1"/>
  <c r="AD10" i="3" s="1"/>
  <c r="O199" i="4" l="1"/>
  <c r="W199" i="4" s="1"/>
  <c r="H199" i="4"/>
  <c r="T200" i="4"/>
  <c r="W200" i="4" s="1"/>
  <c r="H200" i="4"/>
  <c r="W273" i="4"/>
  <c r="O111" i="4"/>
  <c r="I78" i="1" s="1"/>
  <c r="L111" i="4"/>
  <c r="F78" i="1" s="1"/>
  <c r="S111" i="4"/>
  <c r="M78" i="1" s="1"/>
  <c r="K111" i="4"/>
  <c r="E78" i="1" s="1"/>
  <c r="N111" i="4"/>
  <c r="H78" i="1" s="1"/>
  <c r="H101" i="4"/>
  <c r="R111" i="4"/>
  <c r="L78" i="1" s="1"/>
  <c r="W169" i="4"/>
  <c r="H169" i="4"/>
  <c r="P111" i="4"/>
  <c r="J78" i="1" s="1"/>
  <c r="M111" i="4"/>
  <c r="G78" i="1" s="1"/>
  <c r="V111" i="4"/>
  <c r="W109" i="4"/>
  <c r="W108" i="4"/>
  <c r="T111" i="4"/>
  <c r="N78" i="1" s="1"/>
  <c r="Q111" i="4"/>
  <c r="K78" i="1" s="1"/>
  <c r="U111" i="4"/>
  <c r="O78" i="1" s="1"/>
  <c r="K58" i="3" l="1"/>
  <c r="J58" i="3"/>
  <c r="Y58" i="3" s="1"/>
  <c r="AA58" i="3" s="1"/>
  <c r="AC58" i="3" s="1"/>
  <c r="AE58" i="3" s="1"/>
  <c r="K57" i="3"/>
  <c r="J57" i="3"/>
  <c r="Y57" i="3" s="1"/>
  <c r="AA57" i="3" s="1"/>
  <c r="AC57" i="3" s="1"/>
  <c r="AE57" i="3" s="1"/>
  <c r="K52" i="3"/>
  <c r="J52" i="3"/>
  <c r="Y52" i="3" s="1"/>
  <c r="AA52" i="3" s="1"/>
  <c r="AC52" i="3" s="1"/>
  <c r="AE52" i="3" s="1"/>
  <c r="K51" i="3"/>
  <c r="J51" i="3"/>
  <c r="Y51" i="3" s="1"/>
  <c r="AA51" i="3" s="1"/>
  <c r="AC51" i="3" s="1"/>
  <c r="AE51" i="3" s="1"/>
  <c r="K40" i="3"/>
  <c r="J40" i="3"/>
  <c r="Y40" i="3" s="1"/>
  <c r="AA40" i="3" s="1"/>
  <c r="AC40" i="3" s="1"/>
  <c r="AE40" i="3" s="1"/>
  <c r="J32" i="3"/>
  <c r="J31" i="3"/>
  <c r="J11" i="3"/>
  <c r="J10" i="3"/>
  <c r="L102" i="3" s="1" a="1"/>
  <c r="L102" i="3" s="1"/>
  <c r="K31" i="3" l="1"/>
  <c r="Y31" i="3"/>
  <c r="AA31" i="3" s="1"/>
  <c r="AC31" i="3" s="1"/>
  <c r="AE31" i="3" s="1"/>
  <c r="K10" i="3"/>
  <c r="Y10" i="3"/>
  <c r="AA10" i="3" s="1"/>
  <c r="AC10" i="3" s="1"/>
  <c r="AE10" i="3" s="1"/>
  <c r="K32" i="3"/>
  <c r="Y32" i="3"/>
  <c r="AA32" i="3" s="1"/>
  <c r="AC32" i="3" s="1"/>
  <c r="AE32" i="3" s="1"/>
  <c r="K11" i="3"/>
  <c r="Y11" i="3"/>
  <c r="AA11" i="3" s="1"/>
  <c r="AC11" i="3" s="1"/>
  <c r="AE11" i="3" s="1"/>
  <c r="F33" i="16" l="1"/>
  <c r="J36" i="11" l="1"/>
  <c r="I36" i="11"/>
  <c r="F258" i="4"/>
  <c r="T258" i="4" s="1"/>
  <c r="H258" i="4" l="1"/>
  <c r="L14" i="3"/>
  <c r="O102" i="3"/>
  <c r="H47" i="1" s="1"/>
  <c r="P102" i="3"/>
  <c r="I47" i="1" s="1"/>
  <c r="Q102" i="3"/>
  <c r="J47" i="1" s="1"/>
  <c r="R102" i="3"/>
  <c r="K47" i="1" s="1"/>
  <c r="S102" i="3"/>
  <c r="L47" i="1" s="1"/>
  <c r="T102" i="3"/>
  <c r="M47" i="1" s="1"/>
  <c r="U102" i="3"/>
  <c r="N47" i="1" s="1"/>
  <c r="V102" i="3"/>
  <c r="O47" i="1" s="1"/>
  <c r="W102" i="3"/>
  <c r="P47" i="1" s="1"/>
  <c r="E47" i="1"/>
  <c r="M102" i="3"/>
  <c r="F47" i="1" s="1"/>
  <c r="N102" i="3"/>
  <c r="G47" i="1" s="1"/>
  <c r="K12" i="3"/>
  <c r="V14" i="3"/>
  <c r="O31" i="1" s="1"/>
  <c r="M14" i="3"/>
  <c r="F31" i="1" s="1"/>
  <c r="P14" i="3"/>
  <c r="I31" i="1" s="1"/>
  <c r="R14" i="3"/>
  <c r="K31" i="1" s="1"/>
  <c r="S14" i="3"/>
  <c r="L31" i="1" s="1"/>
  <c r="T14" i="3"/>
  <c r="M31" i="1" s="1"/>
  <c r="W14" i="3"/>
  <c r="O14" i="3"/>
  <c r="H31" i="1" s="1"/>
  <c r="Q14" i="3"/>
  <c r="J31" i="1" s="1"/>
  <c r="U14" i="3"/>
  <c r="N31" i="1" s="1"/>
  <c r="N14" i="3"/>
  <c r="G31" i="1" s="1"/>
  <c r="J14" i="3"/>
  <c r="S40" i="1"/>
  <c r="N40" i="17" s="1"/>
  <c r="G51" i="18" s="1"/>
  <c r="F51" i="18" s="1"/>
  <c r="G318" i="4"/>
  <c r="F318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H316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H315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H314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H313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H312" i="4"/>
  <c r="G309" i="4"/>
  <c r="F309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H307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H306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H305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H304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H303" i="4"/>
  <c r="H108" i="1"/>
  <c r="H109" i="1" s="1"/>
  <c r="J108" i="1"/>
  <c r="J109" i="1" s="1"/>
  <c r="M108" i="1"/>
  <c r="M109" i="1" s="1"/>
  <c r="P108" i="1"/>
  <c r="H296" i="4"/>
  <c r="H299" i="4" s="1"/>
  <c r="G289" i="4"/>
  <c r="F289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H287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H286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H285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H284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H283" i="4"/>
  <c r="G279" i="4"/>
  <c r="F279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H277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H276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H275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H274" i="4"/>
  <c r="G270" i="4"/>
  <c r="F270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H268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H267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H266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H265" i="4"/>
  <c r="V259" i="4"/>
  <c r="U259" i="4"/>
  <c r="T259" i="4"/>
  <c r="S259" i="4"/>
  <c r="R259" i="4"/>
  <c r="Q259" i="4"/>
  <c r="Q261" i="4" s="1"/>
  <c r="K100" i="1" s="1"/>
  <c r="P259" i="4"/>
  <c r="O259" i="4"/>
  <c r="N259" i="4"/>
  <c r="M259" i="4"/>
  <c r="L259" i="4"/>
  <c r="K259" i="4"/>
  <c r="H259" i="4"/>
  <c r="F261" i="4"/>
  <c r="G261" i="4"/>
  <c r="V250" i="4"/>
  <c r="V252" i="4" s="1"/>
  <c r="P99" i="1" s="1"/>
  <c r="U250" i="4"/>
  <c r="T250" i="4"/>
  <c r="S250" i="4"/>
  <c r="S252" i="4" s="1"/>
  <c r="M99" i="1" s="1"/>
  <c r="R250" i="4"/>
  <c r="R252" i="4" s="1"/>
  <c r="L99" i="1" s="1"/>
  <c r="Q250" i="4"/>
  <c r="Q252" i="4" s="1"/>
  <c r="K99" i="1" s="1"/>
  <c r="P250" i="4"/>
  <c r="P252" i="4" s="1"/>
  <c r="J99" i="1" s="1"/>
  <c r="O250" i="4"/>
  <c r="N250" i="4"/>
  <c r="M250" i="4"/>
  <c r="L250" i="4"/>
  <c r="L252" i="4" s="1"/>
  <c r="F99" i="1" s="1"/>
  <c r="K250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H250" i="4"/>
  <c r="M252" i="4"/>
  <c r="G99" i="1" s="1"/>
  <c r="S239" i="4"/>
  <c r="M98" i="1" s="1"/>
  <c r="H236" i="4"/>
  <c r="F239" i="4"/>
  <c r="G239" i="4"/>
  <c r="H237" i="4"/>
  <c r="G233" i="4"/>
  <c r="F233" i="4"/>
  <c r="H231" i="4"/>
  <c r="H230" i="4"/>
  <c r="H229" i="4"/>
  <c r="H228" i="4"/>
  <c r="H227" i="4"/>
  <c r="H222" i="4"/>
  <c r="H221" i="4"/>
  <c r="H220" i="4"/>
  <c r="H219" i="4"/>
  <c r="H217" i="4"/>
  <c r="W217" i="4"/>
  <c r="H216" i="4"/>
  <c r="L204" i="4"/>
  <c r="F92" i="1" s="1"/>
  <c r="M204" i="4"/>
  <c r="G92" i="1" s="1"/>
  <c r="P204" i="4"/>
  <c r="J92" i="1" s="1"/>
  <c r="Q204" i="4"/>
  <c r="K92" i="1" s="1"/>
  <c r="R204" i="4"/>
  <c r="L92" i="1" s="1"/>
  <c r="U204" i="4"/>
  <c r="O92" i="1" s="1"/>
  <c r="V204" i="4"/>
  <c r="P92" i="1" s="1"/>
  <c r="K204" i="4"/>
  <c r="E92" i="1" s="1"/>
  <c r="H207" i="4"/>
  <c r="H210" i="4"/>
  <c r="K210" i="4"/>
  <c r="K212" i="4" s="1"/>
  <c r="E93" i="1" s="1"/>
  <c r="G212" i="4"/>
  <c r="F212" i="4"/>
  <c r="V210" i="4"/>
  <c r="U210" i="4"/>
  <c r="T210" i="4"/>
  <c r="S210" i="4"/>
  <c r="R210" i="4"/>
  <c r="Q210" i="4"/>
  <c r="P210" i="4"/>
  <c r="O210" i="4"/>
  <c r="N210" i="4"/>
  <c r="M210" i="4"/>
  <c r="L210" i="4"/>
  <c r="H190" i="4"/>
  <c r="L190" i="4"/>
  <c r="G193" i="4"/>
  <c r="F193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H191" i="4"/>
  <c r="V190" i="4"/>
  <c r="U190" i="4"/>
  <c r="T190" i="4"/>
  <c r="S190" i="4"/>
  <c r="R190" i="4"/>
  <c r="Q190" i="4"/>
  <c r="P190" i="4"/>
  <c r="O190" i="4"/>
  <c r="N190" i="4"/>
  <c r="M190" i="4"/>
  <c r="K190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H182" i="4"/>
  <c r="G185" i="4"/>
  <c r="F185" i="4"/>
  <c r="H183" i="4"/>
  <c r="W177" i="4"/>
  <c r="W176" i="4"/>
  <c r="H170" i="4"/>
  <c r="G173" i="4"/>
  <c r="F173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H171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G166" i="4"/>
  <c r="F166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H164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H163" i="4"/>
  <c r="G160" i="4"/>
  <c r="F160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H158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H157" i="4"/>
  <c r="V156" i="4"/>
  <c r="K135" i="4"/>
  <c r="E83" i="1" s="1"/>
  <c r="V153" i="4"/>
  <c r="P85" i="1" s="1"/>
  <c r="U153" i="4"/>
  <c r="O85" i="1" s="1"/>
  <c r="T153" i="4"/>
  <c r="N85" i="1" s="1"/>
  <c r="S153" i="4"/>
  <c r="M85" i="1" s="1"/>
  <c r="R153" i="4"/>
  <c r="L85" i="1" s="1"/>
  <c r="Q153" i="4"/>
  <c r="K85" i="1" s="1"/>
  <c r="P153" i="4"/>
  <c r="J85" i="1" s="1"/>
  <c r="O153" i="4"/>
  <c r="I85" i="1" s="1"/>
  <c r="N153" i="4"/>
  <c r="H85" i="1" s="1"/>
  <c r="M153" i="4"/>
  <c r="G85" i="1" s="1"/>
  <c r="L153" i="4"/>
  <c r="F85" i="1" s="1"/>
  <c r="K153" i="4"/>
  <c r="E85" i="1" s="1"/>
  <c r="G153" i="4"/>
  <c r="F153" i="4"/>
  <c r="W151" i="4"/>
  <c r="H151" i="4"/>
  <c r="W150" i="4"/>
  <c r="H150" i="4"/>
  <c r="W149" i="4"/>
  <c r="H149" i="4"/>
  <c r="W148" i="4"/>
  <c r="H148" i="4"/>
  <c r="W147" i="4"/>
  <c r="H147" i="4"/>
  <c r="V144" i="4"/>
  <c r="P84" i="1" s="1"/>
  <c r="U144" i="4"/>
  <c r="O84" i="1" s="1"/>
  <c r="T144" i="4"/>
  <c r="N84" i="1" s="1"/>
  <c r="S144" i="4"/>
  <c r="M84" i="1" s="1"/>
  <c r="R144" i="4"/>
  <c r="L84" i="1" s="1"/>
  <c r="Q144" i="4"/>
  <c r="K84" i="1" s="1"/>
  <c r="P144" i="4"/>
  <c r="J84" i="1" s="1"/>
  <c r="O144" i="4"/>
  <c r="I84" i="1" s="1"/>
  <c r="N144" i="4"/>
  <c r="H84" i="1" s="1"/>
  <c r="M144" i="4"/>
  <c r="G84" i="1" s="1"/>
  <c r="L144" i="4"/>
  <c r="F84" i="1" s="1"/>
  <c r="K144" i="4"/>
  <c r="E84" i="1" s="1"/>
  <c r="G144" i="4"/>
  <c r="F144" i="4"/>
  <c r="H142" i="4"/>
  <c r="H141" i="4"/>
  <c r="H140" i="4"/>
  <c r="H139" i="4"/>
  <c r="V135" i="4"/>
  <c r="P83" i="1" s="1"/>
  <c r="U135" i="4"/>
  <c r="O83" i="1" s="1"/>
  <c r="T135" i="4"/>
  <c r="N83" i="1" s="1"/>
  <c r="S135" i="4"/>
  <c r="M83" i="1" s="1"/>
  <c r="R135" i="4"/>
  <c r="L83" i="1" s="1"/>
  <c r="Q135" i="4"/>
  <c r="K83" i="1" s="1"/>
  <c r="P135" i="4"/>
  <c r="J83" i="1" s="1"/>
  <c r="O135" i="4"/>
  <c r="I83" i="1" s="1"/>
  <c r="N135" i="4"/>
  <c r="H83" i="1" s="1"/>
  <c r="M135" i="4"/>
  <c r="G83" i="1" s="1"/>
  <c r="L135" i="4"/>
  <c r="F83" i="1" s="1"/>
  <c r="G135" i="4"/>
  <c r="W133" i="4"/>
  <c r="H133" i="4"/>
  <c r="W132" i="4"/>
  <c r="H132" i="4"/>
  <c r="W131" i="4"/>
  <c r="H131" i="4"/>
  <c r="W130" i="4"/>
  <c r="H130" i="4"/>
  <c r="G126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H124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H123" i="4"/>
  <c r="H122" i="4"/>
  <c r="H114" i="4"/>
  <c r="W115" i="4"/>
  <c r="H115" i="4"/>
  <c r="O118" i="4"/>
  <c r="I79" i="1" s="1"/>
  <c r="H98" i="4"/>
  <c r="H111" i="4" s="1"/>
  <c r="W98" i="4"/>
  <c r="W111" i="4" s="1"/>
  <c r="H93" i="4"/>
  <c r="H92" i="4"/>
  <c r="H87" i="4"/>
  <c r="H86" i="4"/>
  <c r="H81" i="4"/>
  <c r="H80" i="4"/>
  <c r="H79" i="4"/>
  <c r="V93" i="4"/>
  <c r="U93" i="4"/>
  <c r="T93" i="4"/>
  <c r="S93" i="4"/>
  <c r="R93" i="4"/>
  <c r="Q93" i="4"/>
  <c r="P93" i="4"/>
  <c r="O93" i="4"/>
  <c r="N93" i="4"/>
  <c r="M93" i="4"/>
  <c r="L93" i="4"/>
  <c r="K93" i="4"/>
  <c r="V92" i="4"/>
  <c r="U92" i="4"/>
  <c r="T92" i="4"/>
  <c r="S92" i="4"/>
  <c r="R92" i="4"/>
  <c r="Q92" i="4"/>
  <c r="P92" i="4"/>
  <c r="O92" i="4"/>
  <c r="N92" i="4"/>
  <c r="M92" i="4"/>
  <c r="L92" i="4"/>
  <c r="K92" i="4"/>
  <c r="W87" i="4"/>
  <c r="V81" i="4"/>
  <c r="U81" i="4"/>
  <c r="T81" i="4"/>
  <c r="S81" i="4"/>
  <c r="R81" i="4"/>
  <c r="Q81" i="4"/>
  <c r="P81" i="4"/>
  <c r="O81" i="4"/>
  <c r="N81" i="4"/>
  <c r="M81" i="4"/>
  <c r="L81" i="4"/>
  <c r="K81" i="4"/>
  <c r="V80" i="4"/>
  <c r="U80" i="4"/>
  <c r="T80" i="4"/>
  <c r="S80" i="4"/>
  <c r="R80" i="4"/>
  <c r="Q80" i="4"/>
  <c r="P80" i="4"/>
  <c r="O80" i="4"/>
  <c r="N80" i="4"/>
  <c r="M80" i="4"/>
  <c r="L80" i="4"/>
  <c r="U75" i="4"/>
  <c r="O73" i="1" s="1"/>
  <c r="T75" i="4"/>
  <c r="N73" i="1" s="1"/>
  <c r="S75" i="4"/>
  <c r="M73" i="1" s="1"/>
  <c r="R75" i="4"/>
  <c r="L73" i="1" s="1"/>
  <c r="Q75" i="4"/>
  <c r="K73" i="1" s="1"/>
  <c r="P75" i="4"/>
  <c r="J73" i="1" s="1"/>
  <c r="O75" i="4"/>
  <c r="I73" i="1" s="1"/>
  <c r="N75" i="4"/>
  <c r="H73" i="1" s="1"/>
  <c r="M75" i="4"/>
  <c r="G73" i="1" s="1"/>
  <c r="L75" i="4"/>
  <c r="F73" i="1" s="1"/>
  <c r="K75" i="4"/>
  <c r="E73" i="1" s="1"/>
  <c r="V75" i="4"/>
  <c r="P73" i="1" s="1"/>
  <c r="H69" i="4"/>
  <c r="H73" i="4"/>
  <c r="H72" i="4"/>
  <c r="H71" i="4"/>
  <c r="H70" i="4"/>
  <c r="H64" i="4"/>
  <c r="H63" i="4"/>
  <c r="H58" i="4"/>
  <c r="H57" i="4"/>
  <c r="T66" i="4"/>
  <c r="N72" i="1" s="1"/>
  <c r="V44" i="4"/>
  <c r="U44" i="4"/>
  <c r="T44" i="4"/>
  <c r="S44" i="4"/>
  <c r="R44" i="4"/>
  <c r="Q44" i="4"/>
  <c r="P44" i="4"/>
  <c r="O44" i="4"/>
  <c r="N44" i="4"/>
  <c r="M44" i="4"/>
  <c r="L44" i="4"/>
  <c r="K44" i="4"/>
  <c r="V43" i="4"/>
  <c r="U43" i="4"/>
  <c r="T43" i="4"/>
  <c r="S43" i="4"/>
  <c r="R43" i="4"/>
  <c r="Q43" i="4"/>
  <c r="P43" i="4"/>
  <c r="O43" i="4"/>
  <c r="N43" i="4"/>
  <c r="M43" i="4"/>
  <c r="L43" i="4"/>
  <c r="K43" i="4"/>
  <c r="H44" i="4"/>
  <c r="H43" i="4"/>
  <c r="H42" i="4"/>
  <c r="H31" i="4"/>
  <c r="H30" i="4"/>
  <c r="H29" i="4"/>
  <c r="H24" i="4"/>
  <c r="V31" i="4"/>
  <c r="U31" i="4"/>
  <c r="T31" i="4"/>
  <c r="S31" i="4"/>
  <c r="R31" i="4"/>
  <c r="Q31" i="4"/>
  <c r="P31" i="4"/>
  <c r="O31" i="4"/>
  <c r="N31" i="4"/>
  <c r="M31" i="4"/>
  <c r="L31" i="4"/>
  <c r="K31" i="4"/>
  <c r="V30" i="4"/>
  <c r="U30" i="4"/>
  <c r="T30" i="4"/>
  <c r="S30" i="4"/>
  <c r="R30" i="4"/>
  <c r="Q30" i="4"/>
  <c r="P30" i="4"/>
  <c r="O30" i="4"/>
  <c r="N30" i="4"/>
  <c r="M30" i="4"/>
  <c r="K30" i="4"/>
  <c r="V24" i="4"/>
  <c r="U24" i="4"/>
  <c r="T24" i="4"/>
  <c r="S24" i="4"/>
  <c r="R24" i="4"/>
  <c r="Q24" i="4"/>
  <c r="P24" i="4"/>
  <c r="O24" i="4"/>
  <c r="N24" i="4"/>
  <c r="M24" i="4"/>
  <c r="L24" i="4"/>
  <c r="K24" i="4"/>
  <c r="K14" i="3" l="1"/>
  <c r="K110" i="3"/>
  <c r="L110" i="3" s="1"/>
  <c r="E31" i="1"/>
  <c r="L106" i="3"/>
  <c r="H289" i="4"/>
  <c r="N106" i="3"/>
  <c r="G50" i="1" s="1"/>
  <c r="U106" i="3"/>
  <c r="N50" i="1" s="1"/>
  <c r="Q106" i="3"/>
  <c r="J50" i="1" s="1"/>
  <c r="O106" i="3"/>
  <c r="H50" i="1" s="1"/>
  <c r="P31" i="1"/>
  <c r="W106" i="3"/>
  <c r="V106" i="3"/>
  <c r="O50" i="1" s="1"/>
  <c r="T106" i="3"/>
  <c r="M50" i="1" s="1"/>
  <c r="R106" i="3"/>
  <c r="K50" i="1" s="1"/>
  <c r="P106" i="3"/>
  <c r="I50" i="1" s="1"/>
  <c r="E50" i="1"/>
  <c r="S106" i="3"/>
  <c r="L50" i="1" s="1"/>
  <c r="M106" i="3"/>
  <c r="F50" i="1" s="1"/>
  <c r="V173" i="4"/>
  <c r="P88" i="1" s="1"/>
  <c r="H173" i="4"/>
  <c r="H156" i="4"/>
  <c r="H160" i="4" s="1"/>
  <c r="W44" i="4"/>
  <c r="U173" i="4"/>
  <c r="O88" i="1" s="1"/>
  <c r="W43" i="4"/>
  <c r="T173" i="4"/>
  <c r="N88" i="1" s="1"/>
  <c r="K173" i="4"/>
  <c r="E88" i="1" s="1"/>
  <c r="Q173" i="4"/>
  <c r="K88" i="1" s="1"/>
  <c r="O173" i="4"/>
  <c r="I88" i="1" s="1"/>
  <c r="L173" i="4"/>
  <c r="F88" i="1" s="1"/>
  <c r="M173" i="4"/>
  <c r="G88" i="1" s="1"/>
  <c r="N173" i="4"/>
  <c r="H88" i="1" s="1"/>
  <c r="P173" i="4"/>
  <c r="J88" i="1" s="1"/>
  <c r="R173" i="4"/>
  <c r="L88" i="1" s="1"/>
  <c r="S173" i="4"/>
  <c r="M88" i="1" s="1"/>
  <c r="Z111" i="4"/>
  <c r="X111" i="4"/>
  <c r="L39" i="4"/>
  <c r="F68" i="1" s="1"/>
  <c r="Q193" i="4"/>
  <c r="K91" i="1" s="1"/>
  <c r="U289" i="4"/>
  <c r="O105" i="1" s="1"/>
  <c r="O106" i="1" s="1"/>
  <c r="K108" i="1"/>
  <c r="K109" i="1" s="1"/>
  <c r="V239" i="4"/>
  <c r="P98" i="1" s="1"/>
  <c r="K160" i="4"/>
  <c r="E86" i="1" s="1"/>
  <c r="N166" i="4"/>
  <c r="H87" i="1" s="1"/>
  <c r="T193" i="4"/>
  <c r="N91" i="1" s="1"/>
  <c r="R166" i="4"/>
  <c r="L87" i="1" s="1"/>
  <c r="Q212" i="4"/>
  <c r="K93" i="1" s="1"/>
  <c r="H193" i="4"/>
  <c r="S261" i="4"/>
  <c r="M100" i="1" s="1"/>
  <c r="W259" i="4"/>
  <c r="N212" i="4"/>
  <c r="H93" i="1" s="1"/>
  <c r="L279" i="4"/>
  <c r="F102" i="1" s="1"/>
  <c r="V289" i="4"/>
  <c r="P105" i="1" s="1"/>
  <c r="V39" i="4"/>
  <c r="P68" i="1" s="1"/>
  <c r="M26" i="4"/>
  <c r="G66" i="1" s="1"/>
  <c r="V118" i="4"/>
  <c r="P79" i="1" s="1"/>
  <c r="M193" i="4"/>
  <c r="G91" i="1" s="1"/>
  <c r="P26" i="4"/>
  <c r="J66" i="1" s="1"/>
  <c r="Q60" i="4"/>
  <c r="K71" i="1" s="1"/>
  <c r="P78" i="1"/>
  <c r="H208" i="4"/>
  <c r="V26" i="4"/>
  <c r="P66" i="1" s="1"/>
  <c r="W267" i="4"/>
  <c r="P83" i="4"/>
  <c r="J76" i="1" s="1"/>
  <c r="N193" i="4"/>
  <c r="H91" i="1" s="1"/>
  <c r="P239" i="4"/>
  <c r="J98" i="1" s="1"/>
  <c r="M279" i="4"/>
  <c r="G102" i="1" s="1"/>
  <c r="P279" i="4"/>
  <c r="J102" i="1" s="1"/>
  <c r="S279" i="4"/>
  <c r="M102" i="1" s="1"/>
  <c r="V279" i="4"/>
  <c r="P102" i="1" s="1"/>
  <c r="W306" i="4"/>
  <c r="S95" i="4"/>
  <c r="M77" i="1" s="1"/>
  <c r="O233" i="4"/>
  <c r="I97" i="1" s="1"/>
  <c r="N279" i="4"/>
  <c r="H102" i="1" s="1"/>
  <c r="W284" i="4"/>
  <c r="N26" i="4"/>
  <c r="H66" i="1" s="1"/>
  <c r="O60" i="4"/>
  <c r="I71" i="1" s="1"/>
  <c r="K118" i="4"/>
  <c r="E79" i="1" s="1"/>
  <c r="H166" i="4"/>
  <c r="O279" i="4"/>
  <c r="I102" i="1" s="1"/>
  <c r="Q318" i="4"/>
  <c r="K112" i="1" s="1"/>
  <c r="P60" i="4"/>
  <c r="J71" i="1" s="1"/>
  <c r="V66" i="4"/>
  <c r="P72" i="1" s="1"/>
  <c r="O224" i="4"/>
  <c r="I96" i="1" s="1"/>
  <c r="W315" i="4"/>
  <c r="K46" i="4"/>
  <c r="E69" i="1" s="1"/>
  <c r="U60" i="4"/>
  <c r="O71" i="1" s="1"/>
  <c r="N83" i="4"/>
  <c r="H76" i="1" s="1"/>
  <c r="V95" i="4"/>
  <c r="P77" i="1" s="1"/>
  <c r="M95" i="4"/>
  <c r="G77" i="1" s="1"/>
  <c r="R126" i="4"/>
  <c r="L82" i="1" s="1"/>
  <c r="L160" i="4"/>
  <c r="F86" i="1" s="1"/>
  <c r="L166" i="4"/>
  <c r="F87" i="1" s="1"/>
  <c r="O166" i="4"/>
  <c r="I87" i="1" s="1"/>
  <c r="Q279" i="4"/>
  <c r="K102" i="1" s="1"/>
  <c r="V309" i="4"/>
  <c r="P111" i="1" s="1"/>
  <c r="S318" i="4"/>
  <c r="M112" i="1" s="1"/>
  <c r="O26" i="4"/>
  <c r="I66" i="1" s="1"/>
  <c r="U26" i="4"/>
  <c r="O66" i="1" s="1"/>
  <c r="Q39" i="4"/>
  <c r="K68" i="1" s="1"/>
  <c r="R60" i="4"/>
  <c r="L71" i="1" s="1"/>
  <c r="S126" i="4"/>
  <c r="M82" i="1" s="1"/>
  <c r="V126" i="4"/>
  <c r="P82" i="1" s="1"/>
  <c r="W135" i="4"/>
  <c r="M166" i="4"/>
  <c r="G87" i="1" s="1"/>
  <c r="S193" i="4"/>
  <c r="M91" i="1" s="1"/>
  <c r="Q224" i="4"/>
  <c r="K96" i="1" s="1"/>
  <c r="U270" i="4"/>
  <c r="O101" i="1" s="1"/>
  <c r="T318" i="4"/>
  <c r="N112" i="1" s="1"/>
  <c r="R224" i="4"/>
  <c r="L96" i="1" s="1"/>
  <c r="W314" i="4"/>
  <c r="R46" i="4"/>
  <c r="L69" i="1" s="1"/>
  <c r="T60" i="4"/>
  <c r="N71" i="1" s="1"/>
  <c r="T279" i="4"/>
  <c r="N102" i="1" s="1"/>
  <c r="E108" i="1"/>
  <c r="E109" i="1" s="1"/>
  <c r="L193" i="4"/>
  <c r="F91" i="1" s="1"/>
  <c r="W296" i="4"/>
  <c r="H270" i="4"/>
  <c r="L261" i="4"/>
  <c r="F100" i="1" s="1"/>
  <c r="K270" i="4"/>
  <c r="E101" i="1" s="1"/>
  <c r="N270" i="4"/>
  <c r="H101" i="1" s="1"/>
  <c r="T166" i="4"/>
  <c r="N87" i="1" s="1"/>
  <c r="W286" i="4"/>
  <c r="P66" i="4"/>
  <c r="J72" i="1" s="1"/>
  <c r="O95" i="4"/>
  <c r="I77" i="1" s="1"/>
  <c r="V185" i="4"/>
  <c r="P90" i="1" s="1"/>
  <c r="M239" i="4"/>
  <c r="G98" i="1" s="1"/>
  <c r="V261" i="4"/>
  <c r="P100" i="1" s="1"/>
  <c r="V224" i="4"/>
  <c r="P96" i="1" s="1"/>
  <c r="T239" i="4"/>
  <c r="N98" i="1" s="1"/>
  <c r="W304" i="4"/>
  <c r="R309" i="4"/>
  <c r="L111" i="1" s="1"/>
  <c r="R39" i="4"/>
  <c r="L68" i="1" s="1"/>
  <c r="T46" i="4"/>
  <c r="N69" i="1" s="1"/>
  <c r="H52" i="4"/>
  <c r="L66" i="4"/>
  <c r="F72" i="1" s="1"/>
  <c r="P118" i="4"/>
  <c r="J79" i="1" s="1"/>
  <c r="P185" i="4"/>
  <c r="J90" i="1" s="1"/>
  <c r="T185" i="4"/>
  <c r="N90" i="1" s="1"/>
  <c r="S233" i="4"/>
  <c r="M97" i="1" s="1"/>
  <c r="M270" i="4"/>
  <c r="G101" i="1" s="1"/>
  <c r="H309" i="4"/>
  <c r="V318" i="4"/>
  <c r="P112" i="1" s="1"/>
  <c r="S39" i="4"/>
  <c r="M68" i="1" s="1"/>
  <c r="U46" i="4"/>
  <c r="O69" i="1" s="1"/>
  <c r="R261" i="4"/>
  <c r="L100" i="1" s="1"/>
  <c r="W303" i="4"/>
  <c r="T39" i="4"/>
  <c r="N68" i="1" s="1"/>
  <c r="V46" i="4"/>
  <c r="P69" i="1" s="1"/>
  <c r="N66" i="4"/>
  <c r="H72" i="1" s="1"/>
  <c r="R118" i="4"/>
  <c r="L79" i="1" s="1"/>
  <c r="Q166" i="4"/>
  <c r="K87" i="1" s="1"/>
  <c r="U224" i="4"/>
  <c r="O96" i="1" s="1"/>
  <c r="W258" i="4"/>
  <c r="O270" i="4"/>
  <c r="I101" i="1" s="1"/>
  <c r="R270" i="4"/>
  <c r="L101" i="1" s="1"/>
  <c r="W277" i="4"/>
  <c r="L289" i="4"/>
  <c r="F105" i="1" s="1"/>
  <c r="F106" i="1" s="1"/>
  <c r="L309" i="4"/>
  <c r="F111" i="1" s="1"/>
  <c r="W313" i="4"/>
  <c r="U39" i="4"/>
  <c r="O68" i="1" s="1"/>
  <c r="O66" i="4"/>
  <c r="I72" i="1" s="1"/>
  <c r="S118" i="4"/>
  <c r="M79" i="1" s="1"/>
  <c r="P270" i="4"/>
  <c r="J101" i="1" s="1"/>
  <c r="S270" i="4"/>
  <c r="M101" i="1" s="1"/>
  <c r="M289" i="4"/>
  <c r="G105" i="1" s="1"/>
  <c r="G106" i="1" s="1"/>
  <c r="M309" i="4"/>
  <c r="G111" i="1" s="1"/>
  <c r="S166" i="4"/>
  <c r="M87" i="1" s="1"/>
  <c r="Q270" i="4"/>
  <c r="K101" i="1" s="1"/>
  <c r="W268" i="4"/>
  <c r="N289" i="4"/>
  <c r="H105" i="1" s="1"/>
  <c r="H106" i="1" s="1"/>
  <c r="N108" i="1"/>
  <c r="N109" i="1" s="1"/>
  <c r="N309" i="4"/>
  <c r="H111" i="1" s="1"/>
  <c r="H318" i="4"/>
  <c r="P19" i="4"/>
  <c r="J65" i="1" s="1"/>
  <c r="H46" i="4"/>
  <c r="Q46" i="4"/>
  <c r="K69" i="1" s="1"/>
  <c r="K60" i="4"/>
  <c r="E71" i="1" s="1"/>
  <c r="P95" i="4"/>
  <c r="J77" i="1" s="1"/>
  <c r="W157" i="4"/>
  <c r="O212" i="4"/>
  <c r="I93" i="1" s="1"/>
  <c r="U279" i="4"/>
  <c r="O102" i="1" s="1"/>
  <c r="O289" i="4"/>
  <c r="I105" i="1" s="1"/>
  <c r="I106" i="1" s="1"/>
  <c r="W285" i="4"/>
  <c r="O309" i="4"/>
  <c r="I111" i="1" s="1"/>
  <c r="K318" i="4"/>
  <c r="E112" i="1" s="1"/>
  <c r="Q19" i="4"/>
  <c r="K65" i="1" s="1"/>
  <c r="O160" i="4"/>
  <c r="I86" i="1" s="1"/>
  <c r="U166" i="4"/>
  <c r="O87" i="1" s="1"/>
  <c r="P212" i="4"/>
  <c r="J93" i="1" s="1"/>
  <c r="K239" i="4"/>
  <c r="E98" i="1" s="1"/>
  <c r="W276" i="4"/>
  <c r="P289" i="4"/>
  <c r="J105" i="1" s="1"/>
  <c r="J106" i="1" s="1"/>
  <c r="W287" i="4"/>
  <c r="P309" i="4"/>
  <c r="J111" i="1" s="1"/>
  <c r="W307" i="4"/>
  <c r="W312" i="4"/>
  <c r="V83" i="4"/>
  <c r="P76" i="1" s="1"/>
  <c r="P261" i="4"/>
  <c r="J100" i="1" s="1"/>
  <c r="T270" i="4"/>
  <c r="N101" i="1" s="1"/>
  <c r="Q289" i="4"/>
  <c r="K105" i="1" s="1"/>
  <c r="K106" i="1" s="1"/>
  <c r="Q309" i="4"/>
  <c r="K111" i="1" s="1"/>
  <c r="M318" i="4"/>
  <c r="G112" i="1" s="1"/>
  <c r="S19" i="4"/>
  <c r="M65" i="1" s="1"/>
  <c r="R26" i="4"/>
  <c r="L66" i="1" s="1"/>
  <c r="V33" i="4"/>
  <c r="P67" i="1" s="1"/>
  <c r="N33" i="4"/>
  <c r="H67" i="1" s="1"/>
  <c r="M261" i="4"/>
  <c r="G100" i="1" s="1"/>
  <c r="W266" i="4"/>
  <c r="R289" i="4"/>
  <c r="L105" i="1" s="1"/>
  <c r="L106" i="1" s="1"/>
  <c r="U309" i="4"/>
  <c r="O111" i="1" s="1"/>
  <c r="N318" i="4"/>
  <c r="H112" i="1" s="1"/>
  <c r="R19" i="4"/>
  <c r="L65" i="1" s="1"/>
  <c r="K166" i="4"/>
  <c r="E87" i="1" s="1"/>
  <c r="W236" i="4"/>
  <c r="V270" i="4"/>
  <c r="P101" i="1" s="1"/>
  <c r="S289" i="4"/>
  <c r="M105" i="1" s="1"/>
  <c r="M106" i="1" s="1"/>
  <c r="S309" i="4"/>
  <c r="M111" i="1" s="1"/>
  <c r="O318" i="4"/>
  <c r="I112" i="1" s="1"/>
  <c r="R318" i="4"/>
  <c r="L112" i="1" s="1"/>
  <c r="U19" i="4"/>
  <c r="O65" i="1" s="1"/>
  <c r="T26" i="4"/>
  <c r="N66" i="1" s="1"/>
  <c r="L33" i="4"/>
  <c r="F67" i="1" s="1"/>
  <c r="U95" i="4"/>
  <c r="O77" i="1" s="1"/>
  <c r="R193" i="4"/>
  <c r="L91" i="1" s="1"/>
  <c r="M224" i="4"/>
  <c r="G96" i="1" s="1"/>
  <c r="M233" i="4"/>
  <c r="G97" i="1" s="1"/>
  <c r="T289" i="4"/>
  <c r="N105" i="1" s="1"/>
  <c r="N106" i="1" s="1"/>
  <c r="T309" i="4"/>
  <c r="N111" i="1" s="1"/>
  <c r="P318" i="4"/>
  <c r="J112" i="1" s="1"/>
  <c r="W316" i="4"/>
  <c r="K185" i="4"/>
  <c r="E90" i="1" s="1"/>
  <c r="V233" i="4"/>
  <c r="P97" i="1" s="1"/>
  <c r="W274" i="4"/>
  <c r="W275" i="4"/>
  <c r="W305" i="4"/>
  <c r="V19" i="4"/>
  <c r="P65" i="1" s="1"/>
  <c r="W222" i="4"/>
  <c r="W265" i="4"/>
  <c r="F108" i="1"/>
  <c r="F109" i="1" s="1"/>
  <c r="U318" i="4"/>
  <c r="O112" i="1" s="1"/>
  <c r="L318" i="4"/>
  <c r="F112" i="1" s="1"/>
  <c r="K309" i="4"/>
  <c r="E111" i="1" s="1"/>
  <c r="L108" i="1"/>
  <c r="L109" i="1" s="1"/>
  <c r="W297" i="4"/>
  <c r="O108" i="1"/>
  <c r="O109" i="1" s="1"/>
  <c r="G108" i="1"/>
  <c r="G109" i="1" s="1"/>
  <c r="K289" i="4"/>
  <c r="E105" i="1" s="1"/>
  <c r="E106" i="1" s="1"/>
  <c r="W283" i="4"/>
  <c r="H279" i="4"/>
  <c r="R279" i="4"/>
  <c r="L102" i="1" s="1"/>
  <c r="K279" i="4"/>
  <c r="E102" i="1" s="1"/>
  <c r="L270" i="4"/>
  <c r="F101" i="1" s="1"/>
  <c r="K261" i="4"/>
  <c r="E100" i="1" s="1"/>
  <c r="R95" i="4"/>
  <c r="L77" i="1" s="1"/>
  <c r="T19" i="4"/>
  <c r="N65" i="1" s="1"/>
  <c r="O46" i="4"/>
  <c r="I69" i="1" s="1"/>
  <c r="H144" i="4"/>
  <c r="O185" i="4"/>
  <c r="I90" i="1" s="1"/>
  <c r="O193" i="4"/>
  <c r="I91" i="1" s="1"/>
  <c r="N224" i="4"/>
  <c r="H96" i="1" s="1"/>
  <c r="Q239" i="4"/>
  <c r="K98" i="1" s="1"/>
  <c r="T33" i="4"/>
  <c r="N67" i="1" s="1"/>
  <c r="V60" i="4"/>
  <c r="P71" i="1" s="1"/>
  <c r="T95" i="4"/>
  <c r="N77" i="1" s="1"/>
  <c r="U118" i="4"/>
  <c r="O79" i="1" s="1"/>
  <c r="P166" i="4"/>
  <c r="J87" i="1" s="1"/>
  <c r="P193" i="4"/>
  <c r="J91" i="1" s="1"/>
  <c r="L212" i="4"/>
  <c r="F93" i="1" s="1"/>
  <c r="S224" i="4"/>
  <c r="M96" i="1" s="1"/>
  <c r="W221" i="4"/>
  <c r="U239" i="4"/>
  <c r="O98" i="1" s="1"/>
  <c r="U33" i="4"/>
  <c r="O67" i="1" s="1"/>
  <c r="M66" i="4"/>
  <c r="G72" i="1" s="1"/>
  <c r="H95" i="4"/>
  <c r="W209" i="4"/>
  <c r="T224" i="4"/>
  <c r="N96" i="1" s="1"/>
  <c r="L224" i="4"/>
  <c r="F96" i="1" s="1"/>
  <c r="P224" i="4"/>
  <c r="J96" i="1" s="1"/>
  <c r="H126" i="4"/>
  <c r="W156" i="4"/>
  <c r="R185" i="4"/>
  <c r="L90" i="1" s="1"/>
  <c r="U193" i="4"/>
  <c r="O91" i="1" s="1"/>
  <c r="W30" i="4"/>
  <c r="S46" i="4"/>
  <c r="M69" i="1" s="1"/>
  <c r="M160" i="4"/>
  <c r="G86" i="1" s="1"/>
  <c r="P33" i="4"/>
  <c r="J67" i="1" s="1"/>
  <c r="L46" i="4"/>
  <c r="F69" i="1" s="1"/>
  <c r="T83" i="4"/>
  <c r="N76" i="1" s="1"/>
  <c r="W210" i="4"/>
  <c r="L26" i="4"/>
  <c r="F66" i="1" s="1"/>
  <c r="S26" i="4"/>
  <c r="M66" i="1" s="1"/>
  <c r="M39" i="4"/>
  <c r="G68" i="1" s="1"/>
  <c r="M46" i="4"/>
  <c r="G69" i="1" s="1"/>
  <c r="Q66" i="4"/>
  <c r="K72" i="1" s="1"/>
  <c r="Q83" i="4"/>
  <c r="K76" i="1" s="1"/>
  <c r="L95" i="4"/>
  <c r="F77" i="1" s="1"/>
  <c r="T118" i="4"/>
  <c r="N79" i="1" s="1"/>
  <c r="Q185" i="4"/>
  <c r="K90" i="1" s="1"/>
  <c r="W15" i="4"/>
  <c r="N39" i="4"/>
  <c r="H68" i="1" s="1"/>
  <c r="N46" i="4"/>
  <c r="H69" i="1" s="1"/>
  <c r="L60" i="4"/>
  <c r="F71" i="1" s="1"/>
  <c r="R66" i="4"/>
  <c r="L72" i="1" s="1"/>
  <c r="P160" i="4"/>
  <c r="J86" i="1" s="1"/>
  <c r="V166" i="4"/>
  <c r="P87" i="1" s="1"/>
  <c r="V193" i="4"/>
  <c r="P91" i="1" s="1"/>
  <c r="K33" i="4"/>
  <c r="E67" i="1" s="1"/>
  <c r="O33" i="4"/>
  <c r="I67" i="1" s="1"/>
  <c r="O39" i="4"/>
  <c r="I68" i="1" s="1"/>
  <c r="M60" i="4"/>
  <c r="G71" i="1" s="1"/>
  <c r="S66" i="4"/>
  <c r="M72" i="1" s="1"/>
  <c r="S83" i="4"/>
  <c r="M76" i="1" s="1"/>
  <c r="K95" i="4"/>
  <c r="E77" i="1" s="1"/>
  <c r="L118" i="4"/>
  <c r="F79" i="1" s="1"/>
  <c r="H179" i="4"/>
  <c r="S185" i="4"/>
  <c r="M90" i="1" s="1"/>
  <c r="S212" i="4"/>
  <c r="M93" i="1" s="1"/>
  <c r="L239" i="4"/>
  <c r="F98" i="1" s="1"/>
  <c r="L19" i="4"/>
  <c r="F65" i="1" s="1"/>
  <c r="M19" i="4"/>
  <c r="G65" i="1" s="1"/>
  <c r="K26" i="4"/>
  <c r="E66" i="1" s="1"/>
  <c r="P39" i="4"/>
  <c r="J68" i="1" s="1"/>
  <c r="P46" i="4"/>
  <c r="J69" i="1" s="1"/>
  <c r="N60" i="4"/>
  <c r="H71" i="1" s="1"/>
  <c r="M118" i="4"/>
  <c r="G79" i="1" s="1"/>
  <c r="W116" i="4"/>
  <c r="Q118" i="4"/>
  <c r="K79" i="1" s="1"/>
  <c r="W122" i="4"/>
  <c r="K193" i="4"/>
  <c r="E91" i="1" s="1"/>
  <c r="U212" i="4"/>
  <c r="O93" i="1" s="1"/>
  <c r="T212" i="4"/>
  <c r="N93" i="1" s="1"/>
  <c r="W219" i="4"/>
  <c r="U233" i="4"/>
  <c r="O97" i="1" s="1"/>
  <c r="N19" i="4"/>
  <c r="H65" i="1" s="1"/>
  <c r="S60" i="4"/>
  <c r="M71" i="1" s="1"/>
  <c r="U66" i="4"/>
  <c r="O72" i="1" s="1"/>
  <c r="P126" i="4"/>
  <c r="J82" i="1" s="1"/>
  <c r="H135" i="4"/>
  <c r="W179" i="4"/>
  <c r="R233" i="4"/>
  <c r="L97" i="1" s="1"/>
  <c r="O19" i="4"/>
  <c r="I65" i="1" s="1"/>
  <c r="K19" i="4"/>
  <c r="E65" i="1" s="1"/>
  <c r="N95" i="4"/>
  <c r="H77" i="1" s="1"/>
  <c r="Q95" i="4"/>
  <c r="K77" i="1" s="1"/>
  <c r="V212" i="4"/>
  <c r="P93" i="1" s="1"/>
  <c r="W17" i="4"/>
  <c r="W24" i="4"/>
  <c r="W64" i="4"/>
  <c r="K83" i="4"/>
  <c r="E76" i="1" s="1"/>
  <c r="N118" i="4"/>
  <c r="H79" i="1" s="1"/>
  <c r="U160" i="4"/>
  <c r="O86" i="1" s="1"/>
  <c r="W163" i="4"/>
  <c r="W170" i="4"/>
  <c r="L233" i="4"/>
  <c r="F97" i="1" s="1"/>
  <c r="T233" i="4"/>
  <c r="N97" i="1" s="1"/>
  <c r="W57" i="4"/>
  <c r="W144" i="4"/>
  <c r="W164" i="4"/>
  <c r="W183" i="4"/>
  <c r="W230" i="4"/>
  <c r="W16" i="4"/>
  <c r="W124" i="4"/>
  <c r="W153" i="4"/>
  <c r="W158" i="4"/>
  <c r="K126" i="4"/>
  <c r="E82" i="1" s="1"/>
  <c r="N126" i="4"/>
  <c r="H82" i="1" s="1"/>
  <c r="W190" i="4"/>
  <c r="M212" i="4"/>
  <c r="G93" i="1" s="1"/>
  <c r="W229" i="4"/>
  <c r="W58" i="4"/>
  <c r="M126" i="4"/>
  <c r="G82" i="1" s="1"/>
  <c r="K224" i="4"/>
  <c r="E96" i="1" s="1"/>
  <c r="W250" i="4"/>
  <c r="K66" i="4"/>
  <c r="E72" i="1" s="1"/>
  <c r="L83" i="4"/>
  <c r="F76" i="1" s="1"/>
  <c r="W182" i="4"/>
  <c r="R33" i="4"/>
  <c r="L67" i="1" s="1"/>
  <c r="K39" i="4"/>
  <c r="E68" i="1" s="1"/>
  <c r="M33" i="4"/>
  <c r="G67" i="1" s="1"/>
  <c r="M83" i="4"/>
  <c r="G76" i="1" s="1"/>
  <c r="O126" i="4"/>
  <c r="I82" i="1" s="1"/>
  <c r="M185" i="4"/>
  <c r="G90" i="1" s="1"/>
  <c r="W191" i="4"/>
  <c r="R212" i="4"/>
  <c r="L93" i="1" s="1"/>
  <c r="H239" i="4"/>
  <c r="W31" i="4"/>
  <c r="R83" i="4"/>
  <c r="L76" i="1" s="1"/>
  <c r="N185" i="4"/>
  <c r="H90" i="1" s="1"/>
  <c r="W228" i="4"/>
  <c r="K233" i="4"/>
  <c r="E97" i="1" s="1"/>
  <c r="O83" i="4"/>
  <c r="I76" i="1" s="1"/>
  <c r="Q126" i="4"/>
  <c r="K82" i="1" s="1"/>
  <c r="H153" i="4"/>
  <c r="N160" i="4"/>
  <c r="H86" i="1" s="1"/>
  <c r="P233" i="4"/>
  <c r="J97" i="1" s="1"/>
  <c r="W92" i="4"/>
  <c r="W79" i="4"/>
  <c r="T126" i="4"/>
  <c r="N82" i="1" s="1"/>
  <c r="Q160" i="4"/>
  <c r="K86" i="1" s="1"/>
  <c r="W171" i="4"/>
  <c r="W227" i="4"/>
  <c r="S33" i="4"/>
  <c r="M67" i="1" s="1"/>
  <c r="W86" i="4"/>
  <c r="U126" i="4"/>
  <c r="O82" i="1" s="1"/>
  <c r="R160" i="4"/>
  <c r="L86" i="1" s="1"/>
  <c r="W237" i="4"/>
  <c r="W114" i="4"/>
  <c r="S160" i="4"/>
  <c r="M86" i="1" s="1"/>
  <c r="Q233" i="4"/>
  <c r="K97" i="1" s="1"/>
  <c r="U83" i="4"/>
  <c r="O76" i="1" s="1"/>
  <c r="T160" i="4"/>
  <c r="N86" i="1" s="1"/>
  <c r="V160" i="4"/>
  <c r="P86" i="1" s="1"/>
  <c r="U185" i="4"/>
  <c r="O90" i="1" s="1"/>
  <c r="R239" i="4"/>
  <c r="L98" i="1" s="1"/>
  <c r="N233" i="4"/>
  <c r="H97" i="1" s="1"/>
  <c r="W220" i="4"/>
  <c r="W231" i="4"/>
  <c r="K252" i="4"/>
  <c r="E99" i="1" s="1"/>
  <c r="O239" i="4"/>
  <c r="I98" i="1" s="1"/>
  <c r="H233" i="4"/>
  <c r="N239" i="4"/>
  <c r="H98" i="1" s="1"/>
  <c r="W218" i="4"/>
  <c r="W216" i="4"/>
  <c r="H218" i="4"/>
  <c r="H209" i="4"/>
  <c r="W208" i="4"/>
  <c r="W207" i="4"/>
  <c r="L185" i="4"/>
  <c r="F90" i="1" s="1"/>
  <c r="H185" i="4"/>
  <c r="L126" i="4"/>
  <c r="F82" i="1" s="1"/>
  <c r="W123" i="4"/>
  <c r="W93" i="4"/>
  <c r="W81" i="4"/>
  <c r="W80" i="4"/>
  <c r="Q26" i="4"/>
  <c r="K66" i="1" s="1"/>
  <c r="Q33" i="4"/>
  <c r="K67" i="1" s="1"/>
  <c r="W52" i="4"/>
  <c r="W73" i="4"/>
  <c r="W72" i="4"/>
  <c r="W71" i="4"/>
  <c r="W70" i="4"/>
  <c r="W69" i="4"/>
  <c r="P89" i="1"/>
  <c r="O89" i="1"/>
  <c r="N89" i="1"/>
  <c r="M89" i="1"/>
  <c r="L89" i="1"/>
  <c r="K89" i="1"/>
  <c r="J89" i="1"/>
  <c r="I89" i="1"/>
  <c r="H89" i="1"/>
  <c r="G89" i="1"/>
  <c r="F89" i="1"/>
  <c r="G12" i="4"/>
  <c r="E89" i="1"/>
  <c r="M113" i="1" l="1"/>
  <c r="W299" i="4"/>
  <c r="K113" i="1"/>
  <c r="M103" i="1"/>
  <c r="G80" i="1"/>
  <c r="M80" i="1"/>
  <c r="I80" i="1"/>
  <c r="O80" i="1"/>
  <c r="K94" i="1"/>
  <c r="F80" i="1"/>
  <c r="N113" i="1"/>
  <c r="E113" i="1"/>
  <c r="L80" i="1"/>
  <c r="F94" i="1"/>
  <c r="G94" i="1"/>
  <c r="L94" i="1"/>
  <c r="N80" i="1"/>
  <c r="O113" i="1"/>
  <c r="E80" i="1"/>
  <c r="K103" i="1"/>
  <c r="E94" i="1"/>
  <c r="H80" i="1"/>
  <c r="G103" i="1"/>
  <c r="J113" i="1"/>
  <c r="L113" i="1"/>
  <c r="J94" i="1"/>
  <c r="F113" i="1"/>
  <c r="K80" i="1"/>
  <c r="I113" i="1"/>
  <c r="G113" i="1"/>
  <c r="H113" i="1"/>
  <c r="O94" i="1"/>
  <c r="E103" i="1"/>
  <c r="J103" i="1"/>
  <c r="J80" i="1"/>
  <c r="F103" i="1"/>
  <c r="L103" i="1"/>
  <c r="P50" i="1"/>
  <c r="W239" i="4"/>
  <c r="X239" i="4" s="1"/>
  <c r="W173" i="4"/>
  <c r="X173" i="4" s="1"/>
  <c r="W39" i="4"/>
  <c r="W270" i="4"/>
  <c r="X270" i="4" s="1"/>
  <c r="X135" i="4"/>
  <c r="W318" i="4"/>
  <c r="X318" i="4" s="1"/>
  <c r="H212" i="4"/>
  <c r="W309" i="4"/>
  <c r="X309" i="4" s="1"/>
  <c r="W160" i="4"/>
  <c r="X160" i="4" s="1"/>
  <c r="W19" i="4"/>
  <c r="W66" i="4"/>
  <c r="W193" i="4"/>
  <c r="X193" i="4" s="1"/>
  <c r="W279" i="4"/>
  <c r="X279" i="4" s="1"/>
  <c r="X179" i="4"/>
  <c r="W26" i="4"/>
  <c r="W289" i="4"/>
  <c r="X289" i="4" s="1"/>
  <c r="W60" i="4"/>
  <c r="X144" i="4"/>
  <c r="W118" i="4"/>
  <c r="W126" i="4"/>
  <c r="X126" i="4" s="1"/>
  <c r="W33" i="4"/>
  <c r="W185" i="4"/>
  <c r="X185" i="4" s="1"/>
  <c r="W166" i="4"/>
  <c r="X166" i="4" s="1"/>
  <c r="W46" i="4"/>
  <c r="X46" i="4" s="1"/>
  <c r="X153" i="4"/>
  <c r="W212" i="4"/>
  <c r="W75" i="4"/>
  <c r="W95" i="4"/>
  <c r="W224" i="4"/>
  <c r="W233" i="4"/>
  <c r="X233" i="4" s="1"/>
  <c r="W83" i="4"/>
  <c r="W9" i="4"/>
  <c r="W10" i="4"/>
  <c r="AF86" i="1"/>
  <c r="AD115" i="4"/>
  <c r="W12" i="4" l="1"/>
  <c r="X212" i="4"/>
  <c r="X12" i="4" l="1"/>
  <c r="U116" i="23"/>
  <c r="U114" i="23"/>
  <c r="U110" i="23"/>
  <c r="U108" i="23"/>
  <c r="U107" i="23"/>
  <c r="U105" i="23"/>
  <c r="U104" i="23"/>
  <c r="U102" i="23"/>
  <c r="U101" i="23"/>
  <c r="U100" i="23"/>
  <c r="U99" i="23"/>
  <c r="U98" i="23"/>
  <c r="U97" i="23"/>
  <c r="U96" i="23"/>
  <c r="U95" i="23"/>
  <c r="U93" i="23"/>
  <c r="U92" i="23"/>
  <c r="U91" i="23"/>
  <c r="U90" i="23"/>
  <c r="U89" i="23"/>
  <c r="U88" i="23"/>
  <c r="U87" i="23"/>
  <c r="U86" i="23"/>
  <c r="U85" i="23"/>
  <c r="U84" i="23"/>
  <c r="U83" i="23"/>
  <c r="U82" i="23"/>
  <c r="U81" i="23"/>
  <c r="U79" i="23"/>
  <c r="U78" i="23"/>
  <c r="U77" i="23"/>
  <c r="U76" i="23"/>
  <c r="U75" i="23"/>
  <c r="U73" i="23"/>
  <c r="U72" i="23"/>
  <c r="U71" i="23"/>
  <c r="U70" i="23"/>
  <c r="U69" i="23"/>
  <c r="U68" i="23"/>
  <c r="U67" i="23"/>
  <c r="U66" i="23"/>
  <c r="U65" i="23"/>
  <c r="U64" i="23"/>
  <c r="U63" i="23"/>
  <c r="U61" i="23"/>
  <c r="U60" i="23"/>
  <c r="U59" i="23"/>
  <c r="U58" i="23"/>
  <c r="U57" i="23"/>
  <c r="U56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8" i="23"/>
  <c r="U26" i="23"/>
  <c r="U23" i="23"/>
  <c r="U18" i="23"/>
  <c r="U16" i="23"/>
  <c r="U14" i="23"/>
  <c r="U12" i="23"/>
  <c r="U11" i="23"/>
  <c r="U10" i="23"/>
  <c r="U9" i="23"/>
  <c r="U8" i="23"/>
  <c r="U116" i="1"/>
  <c r="U114" i="1"/>
  <c r="U110" i="1"/>
  <c r="U107" i="1"/>
  <c r="U104" i="1"/>
  <c r="U102" i="1"/>
  <c r="U101" i="1"/>
  <c r="U98" i="1"/>
  <c r="U97" i="1"/>
  <c r="U96" i="1"/>
  <c r="U95" i="1"/>
  <c r="U93" i="1"/>
  <c r="U91" i="1"/>
  <c r="U90" i="1"/>
  <c r="U89" i="1"/>
  <c r="U88" i="1"/>
  <c r="U87" i="1"/>
  <c r="U86" i="1"/>
  <c r="U85" i="1"/>
  <c r="U84" i="1"/>
  <c r="U83" i="1"/>
  <c r="U82" i="1"/>
  <c r="U81" i="1"/>
  <c r="U79" i="1"/>
  <c r="U78" i="1"/>
  <c r="U77" i="1"/>
  <c r="U76" i="1"/>
  <c r="U75" i="1"/>
  <c r="U73" i="1"/>
  <c r="U72" i="1"/>
  <c r="U71" i="1"/>
  <c r="U69" i="1"/>
  <c r="U68" i="1"/>
  <c r="U67" i="1"/>
  <c r="U66" i="1"/>
  <c r="U65" i="1"/>
  <c r="U64" i="1"/>
  <c r="U63" i="1"/>
  <c r="U61" i="1"/>
  <c r="U60" i="1"/>
  <c r="U59" i="1"/>
  <c r="U50" i="1"/>
  <c r="U47" i="1"/>
  <c r="U45" i="1"/>
  <c r="U44" i="1"/>
  <c r="U43" i="1"/>
  <c r="U42" i="1"/>
  <c r="U40" i="1"/>
  <c r="U39" i="1"/>
  <c r="U38" i="1"/>
  <c r="U37" i="1"/>
  <c r="U36" i="1"/>
  <c r="U35" i="1"/>
  <c r="U31" i="1"/>
  <c r="U30" i="1"/>
  <c r="U29" i="1"/>
  <c r="U28" i="1"/>
  <c r="U26" i="1"/>
  <c r="U23" i="1"/>
  <c r="U21" i="1"/>
  <c r="U18" i="1"/>
  <c r="U15" i="1"/>
  <c r="U14" i="1"/>
  <c r="P112" i="23" l="1"/>
  <c r="O112" i="23"/>
  <c r="N112" i="23"/>
  <c r="M112" i="23"/>
  <c r="L112" i="23"/>
  <c r="K112" i="23"/>
  <c r="J112" i="23"/>
  <c r="I112" i="23"/>
  <c r="H112" i="23"/>
  <c r="G112" i="23"/>
  <c r="F112" i="23"/>
  <c r="E112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U21" i="23" l="1"/>
  <c r="U19" i="23"/>
  <c r="U112" i="23"/>
  <c r="U20" i="23"/>
  <c r="U111" i="23"/>
  <c r="U24" i="23"/>
  <c r="U15" i="23"/>
  <c r="F248" i="4" l="1"/>
  <c r="F247" i="4"/>
  <c r="F246" i="4"/>
  <c r="O246" i="4" l="1"/>
  <c r="H247" i="4"/>
  <c r="T247" i="4"/>
  <c r="W247" i="4" s="1"/>
  <c r="W246" i="4"/>
  <c r="H246" i="4"/>
  <c r="O248" i="4"/>
  <c r="W248" i="4" s="1"/>
  <c r="H248" i="4"/>
  <c r="S8" i="23"/>
  <c r="P157" i="23" l="1"/>
  <c r="O157" i="23"/>
  <c r="N157" i="23"/>
  <c r="M157" i="23"/>
  <c r="L157" i="23"/>
  <c r="K157" i="23"/>
  <c r="J157" i="23"/>
  <c r="I157" i="23"/>
  <c r="H157" i="23"/>
  <c r="G157" i="23"/>
  <c r="F157" i="23"/>
  <c r="E157" i="23"/>
  <c r="P156" i="23"/>
  <c r="O156" i="23"/>
  <c r="N156" i="23"/>
  <c r="M156" i="23"/>
  <c r="L156" i="23"/>
  <c r="K156" i="23"/>
  <c r="J156" i="23"/>
  <c r="I156" i="23"/>
  <c r="H156" i="23"/>
  <c r="G156" i="23"/>
  <c r="F156" i="23"/>
  <c r="E156" i="23"/>
  <c r="P155" i="23"/>
  <c r="O155" i="23"/>
  <c r="N155" i="23"/>
  <c r="M155" i="23"/>
  <c r="L155" i="23"/>
  <c r="K155" i="23"/>
  <c r="J155" i="23"/>
  <c r="I155" i="23"/>
  <c r="H155" i="23"/>
  <c r="G155" i="23"/>
  <c r="F155" i="23"/>
  <c r="E155" i="23"/>
  <c r="P154" i="23"/>
  <c r="O154" i="23"/>
  <c r="N154" i="23"/>
  <c r="M154" i="23"/>
  <c r="L154" i="23"/>
  <c r="K154" i="23"/>
  <c r="J154" i="23"/>
  <c r="I154" i="23"/>
  <c r="H154" i="23"/>
  <c r="G154" i="23"/>
  <c r="F154" i="23"/>
  <c r="E154" i="23"/>
  <c r="P153" i="23"/>
  <c r="O153" i="23"/>
  <c r="N153" i="23"/>
  <c r="M153" i="23"/>
  <c r="L153" i="23"/>
  <c r="K153" i="23"/>
  <c r="J153" i="23"/>
  <c r="I153" i="23"/>
  <c r="H153" i="23"/>
  <c r="G153" i="23"/>
  <c r="F153" i="23"/>
  <c r="E153" i="23"/>
  <c r="P152" i="23"/>
  <c r="O152" i="23"/>
  <c r="N152" i="23"/>
  <c r="M152" i="23"/>
  <c r="L152" i="23"/>
  <c r="K152" i="23"/>
  <c r="J152" i="23"/>
  <c r="I152" i="23"/>
  <c r="H152" i="23"/>
  <c r="G152" i="23"/>
  <c r="F152" i="23"/>
  <c r="E152" i="23"/>
  <c r="P151" i="23"/>
  <c r="O151" i="23"/>
  <c r="N151" i="23"/>
  <c r="M151" i="23"/>
  <c r="L151" i="23"/>
  <c r="K151" i="23"/>
  <c r="J151" i="23"/>
  <c r="I151" i="23"/>
  <c r="H151" i="23"/>
  <c r="G151" i="23"/>
  <c r="F151" i="23"/>
  <c r="E151" i="23"/>
  <c r="P150" i="23"/>
  <c r="O150" i="23"/>
  <c r="N150" i="23"/>
  <c r="M150" i="23"/>
  <c r="L150" i="23"/>
  <c r="K150" i="23"/>
  <c r="J150" i="23"/>
  <c r="I150" i="23"/>
  <c r="H150" i="23"/>
  <c r="G150" i="23"/>
  <c r="F150" i="23"/>
  <c r="E150" i="23"/>
  <c r="P149" i="23"/>
  <c r="O149" i="23"/>
  <c r="N149" i="23"/>
  <c r="M149" i="23"/>
  <c r="L149" i="23"/>
  <c r="K149" i="23"/>
  <c r="J149" i="23"/>
  <c r="I149" i="23"/>
  <c r="H149" i="23"/>
  <c r="G149" i="23"/>
  <c r="F149" i="23"/>
  <c r="E149" i="23"/>
  <c r="P148" i="23"/>
  <c r="O148" i="23"/>
  <c r="N148" i="23"/>
  <c r="M148" i="23"/>
  <c r="L148" i="23"/>
  <c r="K148" i="23"/>
  <c r="J148" i="23"/>
  <c r="I148" i="23"/>
  <c r="H148" i="23"/>
  <c r="G148" i="23"/>
  <c r="F148" i="23"/>
  <c r="E148" i="23"/>
  <c r="P147" i="23"/>
  <c r="O147" i="23"/>
  <c r="N147" i="23"/>
  <c r="M147" i="23"/>
  <c r="L147" i="23"/>
  <c r="K147" i="23"/>
  <c r="J147" i="23"/>
  <c r="I147" i="23"/>
  <c r="H147" i="23"/>
  <c r="G147" i="23"/>
  <c r="F147" i="23"/>
  <c r="E147" i="23"/>
  <c r="P146" i="23"/>
  <c r="O146" i="23"/>
  <c r="N146" i="23"/>
  <c r="M146" i="23"/>
  <c r="L146" i="23"/>
  <c r="K146" i="23"/>
  <c r="J146" i="23"/>
  <c r="I146" i="23"/>
  <c r="H146" i="23"/>
  <c r="G146" i="23"/>
  <c r="F146" i="23"/>
  <c r="E146" i="23"/>
  <c r="E139" i="23"/>
  <c r="Q113" i="23"/>
  <c r="P113" i="23"/>
  <c r="O113" i="23"/>
  <c r="N113" i="23"/>
  <c r="M113" i="23"/>
  <c r="L113" i="23"/>
  <c r="K113" i="23"/>
  <c r="J113" i="23"/>
  <c r="I113" i="23"/>
  <c r="H113" i="23"/>
  <c r="G113" i="23"/>
  <c r="F113" i="23"/>
  <c r="E113" i="23"/>
  <c r="S112" i="23"/>
  <c r="S111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S108" i="23"/>
  <c r="S109" i="23" s="1"/>
  <c r="I29" i="11" s="1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S105" i="23"/>
  <c r="S106" i="23" s="1"/>
  <c r="I28" i="11" s="1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S102" i="23"/>
  <c r="S101" i="23"/>
  <c r="S100" i="23"/>
  <c r="S99" i="23"/>
  <c r="S98" i="23"/>
  <c r="S97" i="23"/>
  <c r="S96" i="23"/>
  <c r="Q94" i="23"/>
  <c r="P94" i="23"/>
  <c r="O94" i="23"/>
  <c r="N94" i="23"/>
  <c r="M94" i="23"/>
  <c r="L94" i="23"/>
  <c r="K94" i="23"/>
  <c r="J94" i="23"/>
  <c r="I94" i="23"/>
  <c r="H94" i="23"/>
  <c r="G94" i="23"/>
  <c r="F94" i="23"/>
  <c r="E94" i="23"/>
  <c r="S93" i="23"/>
  <c r="S92" i="23"/>
  <c r="S91" i="23"/>
  <c r="S90" i="23"/>
  <c r="S89" i="23"/>
  <c r="S88" i="23"/>
  <c r="S87" i="23"/>
  <c r="S86" i="23"/>
  <c r="S85" i="23"/>
  <c r="S84" i="23"/>
  <c r="S83" i="23"/>
  <c r="S82" i="23"/>
  <c r="Q80" i="23"/>
  <c r="S79" i="23"/>
  <c r="S78" i="23"/>
  <c r="S77" i="23"/>
  <c r="S76" i="23"/>
  <c r="Q74" i="23"/>
  <c r="P74" i="23"/>
  <c r="O74" i="23"/>
  <c r="N74" i="23"/>
  <c r="M74" i="23"/>
  <c r="L74" i="23"/>
  <c r="K74" i="23"/>
  <c r="J74" i="23"/>
  <c r="I74" i="23"/>
  <c r="H74" i="23"/>
  <c r="G74" i="23"/>
  <c r="F74" i="23"/>
  <c r="E74" i="23"/>
  <c r="S73" i="23"/>
  <c r="S72" i="23"/>
  <c r="S71" i="23"/>
  <c r="S70" i="23"/>
  <c r="S69" i="23"/>
  <c r="S68" i="23"/>
  <c r="S67" i="23"/>
  <c r="S66" i="23"/>
  <c r="S65" i="23"/>
  <c r="S64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S61" i="23"/>
  <c r="S60" i="23"/>
  <c r="S59" i="23"/>
  <c r="S58" i="23"/>
  <c r="S57" i="23"/>
  <c r="S56" i="23"/>
  <c r="S55" i="23"/>
  <c r="S54" i="23"/>
  <c r="S53" i="23"/>
  <c r="S52" i="23"/>
  <c r="S51" i="23"/>
  <c r="S50" i="23"/>
  <c r="S49" i="23"/>
  <c r="S48" i="23"/>
  <c r="S47" i="23"/>
  <c r="S46" i="23"/>
  <c r="S45" i="23"/>
  <c r="S44" i="23"/>
  <c r="S43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S40" i="23"/>
  <c r="S39" i="23"/>
  <c r="S38" i="23"/>
  <c r="S37" i="23"/>
  <c r="S36" i="23"/>
  <c r="S35" i="23"/>
  <c r="S34" i="23"/>
  <c r="S33" i="23"/>
  <c r="S32" i="23"/>
  <c r="S31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S24" i="23"/>
  <c r="S25" i="23" s="1"/>
  <c r="I17" i="11" s="1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S21" i="23"/>
  <c r="S20" i="23"/>
  <c r="S19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S16" i="23"/>
  <c r="S15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S12" i="23"/>
  <c r="S11" i="23"/>
  <c r="S10" i="23"/>
  <c r="S9" i="23"/>
  <c r="F4" i="23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A1" i="23"/>
  <c r="G27" i="23" l="1"/>
  <c r="E160" i="23"/>
  <c r="U113" i="23"/>
  <c r="F30" i="11" s="1"/>
  <c r="U62" i="23"/>
  <c r="F23" i="11" s="1"/>
  <c r="U94" i="23"/>
  <c r="F26" i="11" s="1"/>
  <c r="U109" i="23"/>
  <c r="F29" i="11" s="1"/>
  <c r="H160" i="23"/>
  <c r="U41" i="23"/>
  <c r="F22" i="11" s="1"/>
  <c r="U106" i="23"/>
  <c r="F28" i="11" s="1"/>
  <c r="U103" i="23"/>
  <c r="F27" i="11" s="1"/>
  <c r="U74" i="23"/>
  <c r="F24" i="11" s="1"/>
  <c r="O160" i="23"/>
  <c r="S17" i="23"/>
  <c r="U25" i="23"/>
  <c r="F17" i="11" s="1"/>
  <c r="U80" i="23"/>
  <c r="F25" i="11" s="1"/>
  <c r="U17" i="23"/>
  <c r="F15" i="11" s="1"/>
  <c r="U22" i="23"/>
  <c r="F16" i="11" s="1"/>
  <c r="U13" i="23"/>
  <c r="F14" i="11" s="1"/>
  <c r="P27" i="23"/>
  <c r="P115" i="23"/>
  <c r="I27" i="23"/>
  <c r="H27" i="23"/>
  <c r="N27" i="23"/>
  <c r="L27" i="23"/>
  <c r="M27" i="23"/>
  <c r="O27" i="23"/>
  <c r="K27" i="23"/>
  <c r="F26" i="16"/>
  <c r="J27" i="23"/>
  <c r="F25" i="16"/>
  <c r="I160" i="23"/>
  <c r="J160" i="23"/>
  <c r="S80" i="23"/>
  <c r="I25" i="11" s="1"/>
  <c r="S94" i="23"/>
  <c r="I26" i="11" s="1"/>
  <c r="L115" i="23"/>
  <c r="Q27" i="23"/>
  <c r="S22" i="23"/>
  <c r="I16" i="11" s="1"/>
  <c r="F14" i="16"/>
  <c r="P160" i="23"/>
  <c r="E27" i="23"/>
  <c r="F27" i="23"/>
  <c r="S103" i="23"/>
  <c r="I27" i="11" s="1"/>
  <c r="N160" i="23"/>
  <c r="L160" i="23"/>
  <c r="M160" i="23"/>
  <c r="K160" i="23"/>
  <c r="G160" i="23"/>
  <c r="F160" i="23"/>
  <c r="S113" i="23"/>
  <c r="I30" i="11" s="1"/>
  <c r="J115" i="23"/>
  <c r="K115" i="23"/>
  <c r="M115" i="23"/>
  <c r="N115" i="23"/>
  <c r="O115" i="23"/>
  <c r="Q115" i="23"/>
  <c r="E115" i="23"/>
  <c r="I115" i="23"/>
  <c r="F115" i="23"/>
  <c r="S74" i="23"/>
  <c r="I24" i="11" s="1"/>
  <c r="S62" i="23"/>
  <c r="I23" i="11" s="1"/>
  <c r="G115" i="23"/>
  <c r="H115" i="23"/>
  <c r="S13" i="23"/>
  <c r="I14" i="11" s="1"/>
  <c r="S41" i="23"/>
  <c r="I22" i="11" s="1"/>
  <c r="I32" i="11" l="1"/>
  <c r="F12" i="16"/>
  <c r="I15" i="11"/>
  <c r="I19" i="11" s="1"/>
  <c r="I117" i="23"/>
  <c r="I120" i="23" s="1"/>
  <c r="I138" i="23" s="1"/>
  <c r="L117" i="23"/>
  <c r="L120" i="23" s="1"/>
  <c r="L138" i="23" s="1"/>
  <c r="H117" i="23"/>
  <c r="H120" i="23" s="1"/>
  <c r="H138" i="23" s="1"/>
  <c r="G117" i="23"/>
  <c r="G120" i="23" s="1"/>
  <c r="G138" i="23" s="1"/>
  <c r="U115" i="23"/>
  <c r="U27" i="23"/>
  <c r="K117" i="23"/>
  <c r="K120" i="23" s="1"/>
  <c r="K138" i="23" s="1"/>
  <c r="F19" i="11"/>
  <c r="P117" i="23"/>
  <c r="P120" i="23" s="1"/>
  <c r="P138" i="23" s="1"/>
  <c r="M117" i="23"/>
  <c r="M120" i="23" s="1"/>
  <c r="M138" i="23" s="1"/>
  <c r="N117" i="23"/>
  <c r="N120" i="23" s="1"/>
  <c r="N138" i="23" s="1"/>
  <c r="O117" i="23"/>
  <c r="O120" i="23" s="1"/>
  <c r="O138" i="23" s="1"/>
  <c r="J117" i="23"/>
  <c r="J120" i="23" s="1"/>
  <c r="J138" i="23" s="1"/>
  <c r="F117" i="23"/>
  <c r="F120" i="23" s="1"/>
  <c r="F138" i="23" s="1"/>
  <c r="E117" i="23"/>
  <c r="F22" i="16"/>
  <c r="F24" i="16"/>
  <c r="F23" i="16"/>
  <c r="Q117" i="23"/>
  <c r="Q120" i="23" s="1"/>
  <c r="F21" i="16"/>
  <c r="S27" i="23"/>
  <c r="F11" i="16"/>
  <c r="F27" i="16"/>
  <c r="S115" i="23"/>
  <c r="F19" i="16"/>
  <c r="F13" i="16"/>
  <c r="F20" i="16"/>
  <c r="Q160" i="23"/>
  <c r="F9" i="16" s="1"/>
  <c r="F41" i="16" s="1"/>
  <c r="I34" i="11" l="1"/>
  <c r="I43" i="11"/>
  <c r="I37" i="11"/>
  <c r="I41" i="11" s="1"/>
  <c r="U117" i="23"/>
  <c r="S117" i="23"/>
  <c r="F16" i="16"/>
  <c r="F29" i="16"/>
  <c r="E120" i="23"/>
  <c r="E138" i="23" s="1"/>
  <c r="E141" i="23" s="1"/>
  <c r="F139" i="23" s="1"/>
  <c r="F141" i="23" s="1"/>
  <c r="G139" i="23" s="1"/>
  <c r="G141" i="23" s="1"/>
  <c r="H139" i="23" s="1"/>
  <c r="H141" i="23" s="1"/>
  <c r="I139" i="23" s="1"/>
  <c r="I141" i="23" s="1"/>
  <c r="J139" i="23" s="1"/>
  <c r="J141" i="23" s="1"/>
  <c r="K139" i="23" s="1"/>
  <c r="K141" i="23" s="1"/>
  <c r="L139" i="23" s="1"/>
  <c r="L141" i="23" s="1"/>
  <c r="M139" i="23" s="1"/>
  <c r="M141" i="23" s="1"/>
  <c r="N139" i="23" s="1"/>
  <c r="N141" i="23" s="1"/>
  <c r="O139" i="23" s="1"/>
  <c r="O141" i="23" s="1"/>
  <c r="P139" i="23" s="1"/>
  <c r="P141" i="23" s="1"/>
  <c r="F31" i="16" l="1"/>
  <c r="F42" i="16" s="1"/>
  <c r="H116" i="4"/>
  <c r="F34" i="16" l="1"/>
  <c r="F39" i="16" s="1"/>
  <c r="X12" i="3" l="1"/>
  <c r="Z12" i="3" s="1"/>
  <c r="AB12" i="3" s="1"/>
  <c r="AD12" i="3" s="1"/>
  <c r="I20" i="3"/>
  <c r="K45" i="3" l="1"/>
  <c r="X42" i="3" l="1"/>
  <c r="Q24" i="2" l="1"/>
  <c r="G49" i="4" l="1"/>
  <c r="K49" i="4" s="1"/>
  <c r="O49" i="4" l="1"/>
  <c r="O54" i="4" s="1"/>
  <c r="I70" i="1" s="1"/>
  <c r="I74" i="1" s="1"/>
  <c r="P49" i="4"/>
  <c r="P54" i="4" s="1"/>
  <c r="J70" i="1" s="1"/>
  <c r="J74" i="1" s="1"/>
  <c r="Q49" i="4"/>
  <c r="Q54" i="4" s="1"/>
  <c r="K70" i="1" s="1"/>
  <c r="K74" i="1" s="1"/>
  <c r="R49" i="4"/>
  <c r="S49" i="4"/>
  <c r="S54" i="4" s="1"/>
  <c r="M70" i="1" s="1"/>
  <c r="M74" i="1" s="1"/>
  <c r="T49" i="4"/>
  <c r="U49" i="4"/>
  <c r="L49" i="4"/>
  <c r="L54" i="4" s="1"/>
  <c r="F70" i="1" s="1"/>
  <c r="F74" i="1" s="1"/>
  <c r="N49" i="4"/>
  <c r="N54" i="4" s="1"/>
  <c r="H70" i="1" s="1"/>
  <c r="H74" i="1" s="1"/>
  <c r="V49" i="4"/>
  <c r="V54" i="4" s="1"/>
  <c r="P70" i="1" s="1"/>
  <c r="P74" i="1" s="1"/>
  <c r="M49" i="4"/>
  <c r="M54" i="4" s="1"/>
  <c r="G70" i="1" s="1"/>
  <c r="G74" i="1" s="1"/>
  <c r="R54" i="4"/>
  <c r="L70" i="1" s="1"/>
  <c r="L74" i="1" s="1"/>
  <c r="T54" i="4"/>
  <c r="N70" i="1" s="1"/>
  <c r="N74" i="1" s="1"/>
  <c r="U54" i="4"/>
  <c r="O70" i="1" s="1"/>
  <c r="O74" i="1" s="1"/>
  <c r="K54" i="4"/>
  <c r="E70" i="1" s="1"/>
  <c r="AC41" i="1"/>
  <c r="W49" i="4" l="1"/>
  <c r="W54" i="4" s="1"/>
  <c r="E74" i="1"/>
  <c r="U70" i="1"/>
  <c r="H49" i="4"/>
  <c r="H54" i="4" s="1"/>
  <c r="X26" i="3"/>
  <c r="X20" i="3"/>
  <c r="X14" i="3"/>
  <c r="O24" i="1" l="1"/>
  <c r="L24" i="1"/>
  <c r="I24" i="1"/>
  <c r="U24" i="1" l="1"/>
  <c r="S15" i="1"/>
  <c r="X15" i="1" s="1"/>
  <c r="O25" i="1"/>
  <c r="I25" i="1"/>
  <c r="L25" i="1"/>
  <c r="I22" i="1"/>
  <c r="L22" i="1"/>
  <c r="K64" i="3" l="1"/>
  <c r="J64" i="3"/>
  <c r="Y64" i="3" s="1"/>
  <c r="AA64" i="3" s="1"/>
  <c r="AC64" i="3" s="1"/>
  <c r="AE64" i="3" s="1"/>
  <c r="K46" i="3"/>
  <c r="J46" i="3"/>
  <c r="Y46" i="3" s="1"/>
  <c r="AA46" i="3" s="1"/>
  <c r="AC46" i="3" s="1"/>
  <c r="AE46" i="3" s="1"/>
  <c r="J45" i="3"/>
  <c r="Y45" i="3" s="1"/>
  <c r="K59" i="3"/>
  <c r="J59" i="3"/>
  <c r="Y59" i="3" s="1"/>
  <c r="AA59" i="3" s="1"/>
  <c r="AC59" i="3" s="1"/>
  <c r="AE59" i="3" s="1"/>
  <c r="AA45" i="3" l="1"/>
  <c r="AC45" i="3" s="1"/>
  <c r="AE45" i="3" s="1"/>
  <c r="J33" i="3"/>
  <c r="Y33" i="3" s="1"/>
  <c r="AA33" i="3" s="1"/>
  <c r="AC33" i="3" s="1"/>
  <c r="AE33" i="3" s="1"/>
  <c r="J23" i="3"/>
  <c r="X23" i="3"/>
  <c r="Z23" i="3" s="1"/>
  <c r="AB23" i="3" s="1"/>
  <c r="AD23" i="3" s="1"/>
  <c r="X24" i="3"/>
  <c r="Z24" i="3" s="1"/>
  <c r="AB24" i="3" s="1"/>
  <c r="AD24" i="3" s="1"/>
  <c r="X17" i="3"/>
  <c r="Z17" i="3" s="1"/>
  <c r="AB17" i="3" s="1"/>
  <c r="AD17" i="3" s="1"/>
  <c r="J17" i="3"/>
  <c r="L103" i="3" s="1" a="1"/>
  <c r="O104" i="3" l="1" a="1"/>
  <c r="O104" i="3" s="1"/>
  <c r="P104" i="3" a="1"/>
  <c r="P104" i="3" s="1"/>
  <c r="Q104" i="3" a="1"/>
  <c r="Q104" i="3" s="1"/>
  <c r="N104" i="3" a="1"/>
  <c r="N104" i="3" s="1"/>
  <c r="R104" i="3" a="1"/>
  <c r="R104" i="3" s="1"/>
  <c r="S104" i="3" a="1"/>
  <c r="S104" i="3" s="1"/>
  <c r="T104" i="3" a="1"/>
  <c r="T104" i="3" s="1"/>
  <c r="U104" i="3" a="1"/>
  <c r="U104" i="3" s="1"/>
  <c r="V104" i="3" a="1"/>
  <c r="V104" i="3" s="1"/>
  <c r="W104" i="3" a="1"/>
  <c r="W104" i="3" s="1"/>
  <c r="L104" i="3" a="1"/>
  <c r="L104" i="3" s="1"/>
  <c r="M104" i="3" a="1"/>
  <c r="M104" i="3" s="1"/>
  <c r="L103" i="3"/>
  <c r="E48" i="1" s="1"/>
  <c r="L20" i="3"/>
  <c r="T103" i="3"/>
  <c r="M48" i="1" s="1"/>
  <c r="U103" i="3"/>
  <c r="N48" i="1" s="1"/>
  <c r="V103" i="3"/>
  <c r="O48" i="1" s="1"/>
  <c r="W103" i="3"/>
  <c r="O20" i="3"/>
  <c r="H32" i="1" s="1"/>
  <c r="P20" i="3"/>
  <c r="I32" i="1" s="1"/>
  <c r="M103" i="3"/>
  <c r="F48" i="1" s="1"/>
  <c r="Q20" i="3"/>
  <c r="J32" i="1" s="1"/>
  <c r="N20" i="3"/>
  <c r="G32" i="1" s="1"/>
  <c r="N103" i="3"/>
  <c r="G48" i="1" s="1"/>
  <c r="R20" i="3"/>
  <c r="K32" i="1" s="1"/>
  <c r="S20" i="3"/>
  <c r="L32" i="1" s="1"/>
  <c r="W20" i="3"/>
  <c r="M20" i="3"/>
  <c r="F32" i="1" s="1"/>
  <c r="O103" i="3"/>
  <c r="H48" i="1" s="1"/>
  <c r="P103" i="3"/>
  <c r="I48" i="1" s="1"/>
  <c r="T20" i="3"/>
  <c r="M32" i="1" s="1"/>
  <c r="U20" i="3"/>
  <c r="N32" i="1" s="1"/>
  <c r="Q103" i="3"/>
  <c r="J48" i="1" s="1"/>
  <c r="R103" i="3"/>
  <c r="K48" i="1" s="1"/>
  <c r="V20" i="3"/>
  <c r="O32" i="1" s="1"/>
  <c r="S103" i="3"/>
  <c r="L26" i="3"/>
  <c r="E33" i="1" s="1"/>
  <c r="W26" i="3"/>
  <c r="U26" i="3"/>
  <c r="N33" i="1" s="1"/>
  <c r="M26" i="3"/>
  <c r="F33" i="1" s="1"/>
  <c r="N26" i="3"/>
  <c r="G33" i="1" s="1"/>
  <c r="O26" i="3"/>
  <c r="H33" i="1" s="1"/>
  <c r="T26" i="3"/>
  <c r="M33" i="1" s="1"/>
  <c r="P26" i="3"/>
  <c r="I33" i="1" s="1"/>
  <c r="S26" i="3"/>
  <c r="L33" i="1" s="1"/>
  <c r="Q26" i="3"/>
  <c r="J33" i="1" s="1"/>
  <c r="R26" i="3"/>
  <c r="K33" i="1" s="1"/>
  <c r="J26" i="3"/>
  <c r="V26" i="3"/>
  <c r="O33" i="1" s="1"/>
  <c r="L35" i="3"/>
  <c r="P35" i="3"/>
  <c r="Q35" i="3"/>
  <c r="F49" i="1"/>
  <c r="G49" i="1"/>
  <c r="H49" i="1"/>
  <c r="I49" i="1"/>
  <c r="U35" i="3"/>
  <c r="U108" i="3" s="1"/>
  <c r="J49" i="1"/>
  <c r="V35" i="3"/>
  <c r="W35" i="3"/>
  <c r="W108" i="3" s="1"/>
  <c r="K49" i="1"/>
  <c r="E49" i="1"/>
  <c r="L49" i="1"/>
  <c r="O35" i="3"/>
  <c r="M49" i="1"/>
  <c r="M35" i="3"/>
  <c r="S35" i="3"/>
  <c r="N49" i="1"/>
  <c r="N35" i="3"/>
  <c r="R35" i="3"/>
  <c r="O49" i="1"/>
  <c r="T35" i="3"/>
  <c r="P49" i="1"/>
  <c r="Y17" i="3"/>
  <c r="AA17" i="3" s="1"/>
  <c r="AC17" i="3" s="1"/>
  <c r="AE17" i="3" s="1"/>
  <c r="K23" i="3"/>
  <c r="Y23" i="3"/>
  <c r="AA23" i="3" s="1"/>
  <c r="AC23" i="3" s="1"/>
  <c r="AE23" i="3" s="1"/>
  <c r="K24" i="3"/>
  <c r="Y24" i="3"/>
  <c r="AA24" i="3" s="1"/>
  <c r="Y12" i="3"/>
  <c r="AA12" i="3" s="1"/>
  <c r="AC12" i="3" s="1"/>
  <c r="AE12" i="3" s="1"/>
  <c r="K33" i="3"/>
  <c r="K112" i="3" s="1"/>
  <c r="K17" i="3"/>
  <c r="V108" i="3" l="1"/>
  <c r="M34" i="1"/>
  <c r="T108" i="3"/>
  <c r="K34" i="1"/>
  <c r="R108" i="3"/>
  <c r="G34" i="1"/>
  <c r="G41" i="1" s="1"/>
  <c r="N108" i="3"/>
  <c r="J34" i="1"/>
  <c r="J41" i="1" s="1"/>
  <c r="Q108" i="3"/>
  <c r="L34" i="1"/>
  <c r="S108" i="3"/>
  <c r="I34" i="1"/>
  <c r="I41" i="1" s="1"/>
  <c r="P108" i="3"/>
  <c r="E34" i="1"/>
  <c r="L108" i="3"/>
  <c r="L100" i="3"/>
  <c r="H34" i="1"/>
  <c r="H41" i="1" s="1"/>
  <c r="O108" i="3"/>
  <c r="F34" i="1"/>
  <c r="M108" i="3"/>
  <c r="H17" i="3"/>
  <c r="E32" i="1"/>
  <c r="L107" i="3"/>
  <c r="E51" i="1" s="1"/>
  <c r="W74" i="3"/>
  <c r="S105" i="3"/>
  <c r="L48" i="1"/>
  <c r="U48" i="1" s="1"/>
  <c r="U49" i="1"/>
  <c r="F41" i="1"/>
  <c r="V74" i="3"/>
  <c r="O34" i="1"/>
  <c r="O41" i="1" s="1"/>
  <c r="L41" i="1"/>
  <c r="K41" i="1"/>
  <c r="U33" i="1"/>
  <c r="U74" i="3"/>
  <c r="N52" i="1" s="1"/>
  <c r="N34" i="1"/>
  <c r="N41" i="1" s="1"/>
  <c r="M41" i="1"/>
  <c r="U32" i="1"/>
  <c r="L105" i="3"/>
  <c r="R100" i="3"/>
  <c r="K46" i="1" s="1"/>
  <c r="R74" i="3"/>
  <c r="K52" i="1" s="1"/>
  <c r="Q100" i="3"/>
  <c r="J46" i="1" s="1"/>
  <c r="Q74" i="3"/>
  <c r="J52" i="1" s="1"/>
  <c r="S100" i="3"/>
  <c r="L46" i="1" s="1"/>
  <c r="S74" i="3"/>
  <c r="L52" i="1" s="1"/>
  <c r="P100" i="3"/>
  <c r="I46" i="1" s="1"/>
  <c r="P74" i="3"/>
  <c r="N100" i="3"/>
  <c r="N74" i="3"/>
  <c r="G52" i="1" s="1"/>
  <c r="M100" i="3"/>
  <c r="F46" i="1" s="1"/>
  <c r="M74" i="3"/>
  <c r="F52" i="1" s="1"/>
  <c r="L74" i="3"/>
  <c r="O100" i="3"/>
  <c r="O74" i="3"/>
  <c r="H52" i="1" s="1"/>
  <c r="T74" i="3"/>
  <c r="M52" i="1" s="1"/>
  <c r="P32" i="1"/>
  <c r="W107" i="3"/>
  <c r="P52" i="1"/>
  <c r="U100" i="3"/>
  <c r="N46" i="1" s="1"/>
  <c r="R107" i="3"/>
  <c r="K51" i="1" s="1"/>
  <c r="V100" i="3"/>
  <c r="O46" i="1" s="1"/>
  <c r="N105" i="3"/>
  <c r="P33" i="1"/>
  <c r="N107" i="3"/>
  <c r="G51" i="1" s="1"/>
  <c r="Q107" i="3"/>
  <c r="J51" i="1" s="1"/>
  <c r="M105" i="3"/>
  <c r="P34" i="1"/>
  <c r="W100" i="3"/>
  <c r="T100" i="3"/>
  <c r="M46" i="1" s="1"/>
  <c r="V107" i="3"/>
  <c r="O51" i="1" s="1"/>
  <c r="P107" i="3"/>
  <c r="I51" i="1" s="1"/>
  <c r="R105" i="3"/>
  <c r="O107" i="3"/>
  <c r="H51" i="1" s="1"/>
  <c r="R110" i="3"/>
  <c r="K53" i="1" s="1"/>
  <c r="S110" i="3"/>
  <c r="L53" i="1" s="1"/>
  <c r="T110" i="3"/>
  <c r="M53" i="1" s="1"/>
  <c r="U110" i="3"/>
  <c r="N53" i="1" s="1"/>
  <c r="V110" i="3"/>
  <c r="O53" i="1" s="1"/>
  <c r="W110" i="3"/>
  <c r="E53" i="1"/>
  <c r="M110" i="3"/>
  <c r="F53" i="1" s="1"/>
  <c r="N110" i="3"/>
  <c r="G53" i="1" s="1"/>
  <c r="O110" i="3"/>
  <c r="H53" i="1" s="1"/>
  <c r="P110" i="3"/>
  <c r="I53" i="1" s="1"/>
  <c r="Q110" i="3"/>
  <c r="J53" i="1" s="1"/>
  <c r="Q105" i="3"/>
  <c r="W105" i="3"/>
  <c r="P48" i="1"/>
  <c r="U107" i="3"/>
  <c r="N51" i="1" s="1"/>
  <c r="V105" i="3"/>
  <c r="S107" i="3"/>
  <c r="L51" i="1" s="1"/>
  <c r="K26" i="3"/>
  <c r="T107" i="3"/>
  <c r="M51" i="1" s="1"/>
  <c r="U105" i="3"/>
  <c r="M107" i="3"/>
  <c r="F51" i="1" s="1"/>
  <c r="P105" i="3"/>
  <c r="T105" i="3"/>
  <c r="O105" i="3"/>
  <c r="AC24" i="3"/>
  <c r="AE24" i="3" s="1"/>
  <c r="AA26" i="3"/>
  <c r="H36" i="2"/>
  <c r="J36" i="2" s="1"/>
  <c r="L36" i="2" s="1"/>
  <c r="N36" i="2" s="1"/>
  <c r="O52" i="1" l="1"/>
  <c r="U34" i="1"/>
  <c r="E41" i="1"/>
  <c r="I52" i="1"/>
  <c r="M101" i="3"/>
  <c r="S101" i="3"/>
  <c r="R101" i="3"/>
  <c r="Q101" i="3"/>
  <c r="L109" i="3"/>
  <c r="E52" i="1"/>
  <c r="U52" i="1" s="1"/>
  <c r="N101" i="3"/>
  <c r="G46" i="1"/>
  <c r="O101" i="3"/>
  <c r="H46" i="1"/>
  <c r="P101" i="3"/>
  <c r="U51" i="1"/>
  <c r="L101" i="3"/>
  <c r="E46" i="1"/>
  <c r="U53" i="1"/>
  <c r="T109" i="3"/>
  <c r="O109" i="3"/>
  <c r="P46" i="1"/>
  <c r="W101" i="3"/>
  <c r="P109" i="3"/>
  <c r="V101" i="3"/>
  <c r="S109" i="3"/>
  <c r="V109" i="3"/>
  <c r="Q109" i="3"/>
  <c r="R109" i="3"/>
  <c r="U101" i="3"/>
  <c r="N109" i="3"/>
  <c r="U109" i="3"/>
  <c r="P53" i="1"/>
  <c r="T101" i="3"/>
  <c r="P51" i="1"/>
  <c r="W109" i="3"/>
  <c r="M112" i="3"/>
  <c r="F55" i="1" s="1"/>
  <c r="N112" i="3"/>
  <c r="G55" i="1" s="1"/>
  <c r="O112" i="3"/>
  <c r="H55" i="1" s="1"/>
  <c r="L112" i="3"/>
  <c r="E55" i="1" s="1"/>
  <c r="P112" i="3"/>
  <c r="I55" i="1" s="1"/>
  <c r="Q112" i="3"/>
  <c r="J55" i="1" s="1"/>
  <c r="R112" i="3"/>
  <c r="K55" i="1" s="1"/>
  <c r="S112" i="3"/>
  <c r="L55" i="1" s="1"/>
  <c r="T112" i="3"/>
  <c r="M55" i="1" s="1"/>
  <c r="U112" i="3"/>
  <c r="N55" i="1" s="1"/>
  <c r="V112" i="3"/>
  <c r="O55" i="1" s="1"/>
  <c r="W112" i="3"/>
  <c r="P55" i="1" s="1"/>
  <c r="M109" i="3"/>
  <c r="P41" i="1"/>
  <c r="F299" i="4"/>
  <c r="F252" i="4"/>
  <c r="F224" i="4"/>
  <c r="F204" i="4"/>
  <c r="F179" i="4"/>
  <c r="F135" i="4"/>
  <c r="F126" i="4"/>
  <c r="F118" i="4"/>
  <c r="F95" i="4"/>
  <c r="F83" i="4"/>
  <c r="F75" i="4"/>
  <c r="F66" i="4"/>
  <c r="F60" i="4"/>
  <c r="F54" i="4"/>
  <c r="F46" i="4"/>
  <c r="F39" i="4"/>
  <c r="F33" i="4"/>
  <c r="F26" i="4"/>
  <c r="F19" i="4"/>
  <c r="F12" i="4"/>
  <c r="U46" i="1" l="1"/>
  <c r="U55" i="1"/>
  <c r="P112" i="17" l="1"/>
  <c r="P111" i="17"/>
  <c r="P105" i="17"/>
  <c r="P106" i="17" s="1"/>
  <c r="P102" i="17"/>
  <c r="P101" i="17"/>
  <c r="P100" i="17"/>
  <c r="P99" i="17"/>
  <c r="P98" i="17"/>
  <c r="P97" i="17"/>
  <c r="P96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79" i="17"/>
  <c r="P78" i="17"/>
  <c r="P77" i="17"/>
  <c r="P76" i="17"/>
  <c r="P73" i="17"/>
  <c r="P72" i="17"/>
  <c r="P71" i="17"/>
  <c r="P69" i="17"/>
  <c r="P68" i="17"/>
  <c r="P67" i="17"/>
  <c r="P66" i="17"/>
  <c r="P65" i="17"/>
  <c r="P64" i="17"/>
  <c r="P62" i="17"/>
  <c r="P41" i="17"/>
  <c r="P25" i="17"/>
  <c r="P22" i="17"/>
  <c r="P17" i="17"/>
  <c r="P13" i="17"/>
  <c r="X64" i="17"/>
  <c r="P27" i="17" l="1"/>
  <c r="P113" i="17"/>
  <c r="P80" i="17"/>
  <c r="P103" i="17"/>
  <c r="P94" i="17"/>
  <c r="K78" i="3" l="1"/>
  <c r="F37" i="2" l="1"/>
  <c r="K71" i="3"/>
  <c r="J71" i="3"/>
  <c r="Y71" i="3" s="1"/>
  <c r="AA71" i="3" s="1"/>
  <c r="AC71" i="3" s="1"/>
  <c r="AE71" i="3" s="1"/>
  <c r="K70" i="3"/>
  <c r="J70" i="3"/>
  <c r="Y70" i="3" s="1"/>
  <c r="AA70" i="3" s="1"/>
  <c r="AC70" i="3" s="1"/>
  <c r="AE70" i="3" s="1"/>
  <c r="C42" i="3"/>
  <c r="O5" i="1" l="1"/>
  <c r="L5" i="1"/>
  <c r="G5" i="1"/>
  <c r="N5" i="1"/>
  <c r="K5" i="1"/>
  <c r="J5" i="1"/>
  <c r="M5" i="1"/>
  <c r="I5" i="1"/>
  <c r="H5" i="1"/>
  <c r="F5" i="1"/>
  <c r="E5" i="1"/>
  <c r="Y67" i="3"/>
  <c r="Y54" i="3"/>
  <c r="Y48" i="3"/>
  <c r="K42" i="3"/>
  <c r="I10" i="1" l="1"/>
  <c r="I8" i="1"/>
  <c r="I11" i="1"/>
  <c r="I9" i="1"/>
  <c r="I12" i="1"/>
  <c r="K8" i="1"/>
  <c r="K11" i="1"/>
  <c r="K12" i="1"/>
  <c r="K10" i="1"/>
  <c r="K9" i="1"/>
  <c r="E10" i="1"/>
  <c r="E9" i="1"/>
  <c r="E12" i="1"/>
  <c r="E8" i="1"/>
  <c r="E11" i="1"/>
  <c r="G11" i="1"/>
  <c r="G8" i="1"/>
  <c r="G10" i="1"/>
  <c r="G9" i="1"/>
  <c r="G12" i="1"/>
  <c r="H8" i="1"/>
  <c r="H11" i="1"/>
  <c r="H10" i="1"/>
  <c r="H9" i="1"/>
  <c r="H12" i="1"/>
  <c r="J8" i="1"/>
  <c r="J11" i="1"/>
  <c r="J10" i="1"/>
  <c r="J9" i="1"/>
  <c r="J12" i="1"/>
  <c r="L12" i="1"/>
  <c r="L8" i="1"/>
  <c r="L11" i="1"/>
  <c r="L9" i="1"/>
  <c r="L10" i="1"/>
  <c r="F10" i="1"/>
  <c r="F9" i="1"/>
  <c r="F12" i="1"/>
  <c r="F8" i="1"/>
  <c r="F11" i="1"/>
  <c r="F13" i="1" s="1"/>
  <c r="M9" i="1"/>
  <c r="M12" i="1"/>
  <c r="M8" i="1"/>
  <c r="M11" i="1"/>
  <c r="M10" i="1"/>
  <c r="N9" i="1"/>
  <c r="N12" i="1"/>
  <c r="N11" i="1"/>
  <c r="N8" i="1"/>
  <c r="N10" i="1"/>
  <c r="O9" i="1"/>
  <c r="O12" i="1"/>
  <c r="O11" i="1"/>
  <c r="O8" i="1"/>
  <c r="O10" i="1"/>
  <c r="O13" i="1" l="1"/>
  <c r="N13" i="1"/>
  <c r="U12" i="1"/>
  <c r="U9" i="1"/>
  <c r="E13" i="1"/>
  <c r="U10" i="1"/>
  <c r="U11" i="1"/>
  <c r="J13" i="1"/>
  <c r="K13" i="1"/>
  <c r="H13" i="1"/>
  <c r="M13" i="1"/>
  <c r="U8" i="1"/>
  <c r="L13" i="1"/>
  <c r="G13" i="1"/>
  <c r="I13" i="1"/>
  <c r="E41" i="17" l="1"/>
  <c r="L62" i="17"/>
  <c r="L41" i="17"/>
  <c r="F68" i="17" l="1"/>
  <c r="G68" i="17"/>
  <c r="H68" i="17"/>
  <c r="I68" i="17"/>
  <c r="J68" i="17"/>
  <c r="K68" i="17"/>
  <c r="L68" i="17"/>
  <c r="M68" i="17"/>
  <c r="N68" i="17"/>
  <c r="O68" i="17"/>
  <c r="Q68" i="17"/>
  <c r="R68" i="17"/>
  <c r="S68" i="17"/>
  <c r="T68" i="17"/>
  <c r="U68" i="17"/>
  <c r="V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Q14" i="17"/>
  <c r="AQ18" i="17"/>
  <c r="AQ23" i="17"/>
  <c r="AQ26" i="17"/>
  <c r="AQ28" i="17"/>
  <c r="AQ29" i="17"/>
  <c r="AQ30" i="17"/>
  <c r="AQ42" i="17"/>
  <c r="AQ63" i="17"/>
  <c r="AQ75" i="17"/>
  <c r="AQ81" i="17"/>
  <c r="AQ95" i="17"/>
  <c r="AQ104" i="17"/>
  <c r="AQ107" i="17"/>
  <c r="AQ110" i="17"/>
  <c r="AQ114" i="17"/>
  <c r="AQ116" i="17"/>
  <c r="AH62" i="17"/>
  <c r="AG62" i="17"/>
  <c r="AF62" i="17"/>
  <c r="AE62" i="17"/>
  <c r="AD62" i="17"/>
  <c r="AC62" i="17"/>
  <c r="AB62" i="17"/>
  <c r="AA62" i="17"/>
  <c r="Z62" i="17"/>
  <c r="Y62" i="17"/>
  <c r="X62" i="17"/>
  <c r="V62" i="17"/>
  <c r="U62" i="17"/>
  <c r="T62" i="17"/>
  <c r="S62" i="17"/>
  <c r="R62" i="17"/>
  <c r="AH41" i="17"/>
  <c r="AG41" i="17"/>
  <c r="AF41" i="17"/>
  <c r="AE41" i="17"/>
  <c r="AD41" i="17"/>
  <c r="AC41" i="17"/>
  <c r="AB41" i="17"/>
  <c r="AA41" i="17"/>
  <c r="Z41" i="17"/>
  <c r="Y41" i="17"/>
  <c r="X41" i="17"/>
  <c r="V41" i="17"/>
  <c r="U41" i="17"/>
  <c r="T41" i="17"/>
  <c r="S41" i="17"/>
  <c r="R41" i="17"/>
  <c r="AH25" i="17"/>
  <c r="AG25" i="17"/>
  <c r="AF25" i="17"/>
  <c r="AE25" i="17"/>
  <c r="AD25" i="17"/>
  <c r="AC25" i="17"/>
  <c r="AB25" i="17"/>
  <c r="AA25" i="17"/>
  <c r="Z25" i="17"/>
  <c r="Y25" i="17"/>
  <c r="X25" i="17"/>
  <c r="V25" i="17"/>
  <c r="U25" i="17"/>
  <c r="T25" i="17"/>
  <c r="S25" i="17"/>
  <c r="R25" i="17"/>
  <c r="AH22" i="17"/>
  <c r="AF22" i="17"/>
  <c r="AB22" i="17"/>
  <c r="Z22" i="17"/>
  <c r="Y22" i="17"/>
  <c r="X22" i="17"/>
  <c r="V22" i="17"/>
  <c r="U22" i="17"/>
  <c r="T22" i="17"/>
  <c r="S22" i="17"/>
  <c r="R22" i="17"/>
  <c r="AH17" i="17"/>
  <c r="AG17" i="17"/>
  <c r="AF17" i="17"/>
  <c r="AE17" i="17"/>
  <c r="AD17" i="17"/>
  <c r="AC17" i="17"/>
  <c r="AA17" i="17"/>
  <c r="Y17" i="17"/>
  <c r="X17" i="17"/>
  <c r="V17" i="17"/>
  <c r="U17" i="17"/>
  <c r="T17" i="17"/>
  <c r="S17" i="17"/>
  <c r="R17" i="17"/>
  <c r="AH13" i="17"/>
  <c r="AG13" i="17"/>
  <c r="AF13" i="17"/>
  <c r="AE13" i="17"/>
  <c r="AD13" i="17"/>
  <c r="AC13" i="17"/>
  <c r="AB13" i="17"/>
  <c r="AA13" i="17"/>
  <c r="Z13" i="17"/>
  <c r="Y13" i="17"/>
  <c r="X13" i="17"/>
  <c r="V13" i="17"/>
  <c r="U13" i="17"/>
  <c r="T13" i="17"/>
  <c r="S13" i="17"/>
  <c r="R13" i="17"/>
  <c r="H96" i="17"/>
  <c r="G112" i="17"/>
  <c r="F112" i="17"/>
  <c r="F111" i="17"/>
  <c r="F108" i="17"/>
  <c r="G105" i="17"/>
  <c r="F105" i="17"/>
  <c r="F102" i="17"/>
  <c r="G101" i="17"/>
  <c r="F101" i="17"/>
  <c r="F98" i="17"/>
  <c r="G97" i="17"/>
  <c r="F97" i="17"/>
  <c r="F93" i="17"/>
  <c r="G91" i="17"/>
  <c r="F91" i="17"/>
  <c r="G90" i="17"/>
  <c r="F90" i="17"/>
  <c r="F89" i="17"/>
  <c r="G88" i="17"/>
  <c r="F87" i="17"/>
  <c r="H86" i="17"/>
  <c r="F86" i="17"/>
  <c r="F85" i="17"/>
  <c r="G83" i="17"/>
  <c r="F83" i="17"/>
  <c r="F82" i="17"/>
  <c r="H79" i="17"/>
  <c r="G79" i="17"/>
  <c r="F78" i="17"/>
  <c r="G77" i="17"/>
  <c r="F77" i="17"/>
  <c r="F76" i="17"/>
  <c r="G73" i="17"/>
  <c r="F73" i="17"/>
  <c r="F72" i="17"/>
  <c r="G71" i="17"/>
  <c r="F71" i="17"/>
  <c r="F70" i="17"/>
  <c r="G69" i="17"/>
  <c r="F69" i="17"/>
  <c r="G67" i="17"/>
  <c r="F67" i="17"/>
  <c r="AM62" i="17"/>
  <c r="AL62" i="17"/>
  <c r="AK62" i="17"/>
  <c r="AJ62" i="17"/>
  <c r="AI62" i="17"/>
  <c r="Q62" i="17"/>
  <c r="K62" i="17"/>
  <c r="J62" i="17"/>
  <c r="I62" i="17"/>
  <c r="H62" i="17"/>
  <c r="G62" i="17"/>
  <c r="AM41" i="17"/>
  <c r="AL41" i="17"/>
  <c r="AK41" i="17"/>
  <c r="AJ41" i="17"/>
  <c r="AI41" i="17"/>
  <c r="Q41" i="17"/>
  <c r="K41" i="17"/>
  <c r="J41" i="17"/>
  <c r="I41" i="17"/>
  <c r="H41" i="17"/>
  <c r="G41" i="17"/>
  <c r="AM25" i="17"/>
  <c r="AL25" i="17"/>
  <c r="AK25" i="17"/>
  <c r="AJ25" i="17"/>
  <c r="AI25" i="17"/>
  <c r="Q25" i="17"/>
  <c r="O25" i="17"/>
  <c r="N25" i="17"/>
  <c r="M25" i="17"/>
  <c r="L25" i="17"/>
  <c r="K25" i="17"/>
  <c r="J25" i="17"/>
  <c r="I25" i="17"/>
  <c r="H25" i="17"/>
  <c r="G25" i="17"/>
  <c r="F25" i="17"/>
  <c r="H22" i="17"/>
  <c r="G22" i="17"/>
  <c r="F22" i="17"/>
  <c r="AM22" i="17"/>
  <c r="AL22" i="17"/>
  <c r="AK22" i="17"/>
  <c r="AI22" i="17"/>
  <c r="Q22" i="17"/>
  <c r="N22" i="17"/>
  <c r="M22" i="17"/>
  <c r="J22" i="17"/>
  <c r="AM17" i="17"/>
  <c r="AL17" i="17"/>
  <c r="AK17" i="17"/>
  <c r="AJ17" i="17"/>
  <c r="AI17" i="17"/>
  <c r="Q17" i="17"/>
  <c r="O17" i="17"/>
  <c r="N17" i="17"/>
  <c r="M17" i="17"/>
  <c r="L17" i="17"/>
  <c r="K17" i="17"/>
  <c r="J17" i="17"/>
  <c r="I17" i="17"/>
  <c r="H17" i="17"/>
  <c r="G17" i="17"/>
  <c r="AM13" i="17"/>
  <c r="AL13" i="17"/>
  <c r="AK13" i="17"/>
  <c r="AJ13" i="17"/>
  <c r="AI13" i="17"/>
  <c r="Q13" i="17"/>
  <c r="O13" i="17"/>
  <c r="N13" i="17"/>
  <c r="M13" i="17"/>
  <c r="L13" i="17"/>
  <c r="K13" i="17"/>
  <c r="J13" i="17"/>
  <c r="I13" i="17"/>
  <c r="H13" i="17"/>
  <c r="G13" i="17"/>
  <c r="F13" i="17"/>
  <c r="A3" i="17"/>
  <c r="A1" i="17"/>
  <c r="U27" i="17" l="1"/>
  <c r="S27" i="17"/>
  <c r="E68" i="17"/>
  <c r="G27" i="17"/>
  <c r="F109" i="17"/>
  <c r="G106" i="17"/>
  <c r="F106" i="17"/>
  <c r="H27" i="17"/>
  <c r="H39" i="4"/>
  <c r="X39" i="4" s="1"/>
  <c r="T27" i="17"/>
  <c r="Y27" i="17"/>
  <c r="AF27" i="17"/>
  <c r="AH27" i="17"/>
  <c r="X27" i="17"/>
  <c r="V27" i="17"/>
  <c r="R27" i="17"/>
  <c r="N27" i="17"/>
  <c r="AI27" i="17"/>
  <c r="G85" i="17"/>
  <c r="G92" i="17"/>
  <c r="H67" i="17"/>
  <c r="H69" i="17"/>
  <c r="H71" i="17"/>
  <c r="H73" i="17"/>
  <c r="H77" i="17"/>
  <c r="G86" i="17"/>
  <c r="G93" i="17"/>
  <c r="H105" i="17"/>
  <c r="J27" i="17"/>
  <c r="M27" i="17"/>
  <c r="AM27" i="17"/>
  <c r="G82" i="17"/>
  <c r="G89" i="17"/>
  <c r="H91" i="17"/>
  <c r="H101" i="17"/>
  <c r="R112" i="17"/>
  <c r="R111" i="17"/>
  <c r="R108" i="17"/>
  <c r="R105" i="17"/>
  <c r="R102" i="17"/>
  <c r="R101" i="17"/>
  <c r="R100" i="17"/>
  <c r="R99" i="17"/>
  <c r="R98" i="17"/>
  <c r="R97" i="17"/>
  <c r="R96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79" i="17"/>
  <c r="R78" i="17"/>
  <c r="R77" i="17"/>
  <c r="R76" i="17"/>
  <c r="R73" i="17"/>
  <c r="R72" i="17"/>
  <c r="R71" i="17"/>
  <c r="R70" i="17"/>
  <c r="R69" i="17"/>
  <c r="R64" i="17"/>
  <c r="R65" i="17"/>
  <c r="R66" i="17"/>
  <c r="R67" i="17"/>
  <c r="AK27" i="17"/>
  <c r="G64" i="17"/>
  <c r="G66" i="17"/>
  <c r="G70" i="17"/>
  <c r="G72" i="17"/>
  <c r="G76" i="17"/>
  <c r="G78" i="17"/>
  <c r="H82" i="17"/>
  <c r="H89" i="17"/>
  <c r="G96" i="17"/>
  <c r="AL27" i="17"/>
  <c r="H64" i="17"/>
  <c r="H66" i="17"/>
  <c r="H70" i="17"/>
  <c r="H72" i="17"/>
  <c r="H76" i="17"/>
  <c r="G87" i="17"/>
  <c r="G99" i="17"/>
  <c r="F113" i="17"/>
  <c r="H111" i="17"/>
  <c r="H98" i="17"/>
  <c r="H88" i="17"/>
  <c r="H83" i="17"/>
  <c r="H108" i="17"/>
  <c r="H100" i="17"/>
  <c r="H93" i="17"/>
  <c r="H97" i="17"/>
  <c r="H90" i="17"/>
  <c r="H85" i="17"/>
  <c r="H102" i="17"/>
  <c r="H112" i="17"/>
  <c r="H99" i="17"/>
  <c r="H92" i="17"/>
  <c r="H87" i="17"/>
  <c r="H78" i="17"/>
  <c r="G102" i="17"/>
  <c r="G100" i="17"/>
  <c r="G108" i="17"/>
  <c r="G98" i="17"/>
  <c r="G111" i="17"/>
  <c r="Q27" i="17"/>
  <c r="G113" i="17" l="1"/>
  <c r="R109" i="17"/>
  <c r="H109" i="17"/>
  <c r="G109" i="17"/>
  <c r="R106" i="17"/>
  <c r="H106" i="17"/>
  <c r="R113" i="17"/>
  <c r="G80" i="17"/>
  <c r="G94" i="17"/>
  <c r="H113" i="17"/>
  <c r="G103" i="17"/>
  <c r="H74" i="17"/>
  <c r="G74" i="17"/>
  <c r="G76" i="18" s="1"/>
  <c r="F76" i="18" s="1"/>
  <c r="R94" i="17"/>
  <c r="S71" i="17"/>
  <c r="S111" i="17"/>
  <c r="S105" i="17"/>
  <c r="S100" i="17"/>
  <c r="S96" i="17"/>
  <c r="S92" i="17"/>
  <c r="S88" i="17"/>
  <c r="S84" i="17"/>
  <c r="S78" i="17"/>
  <c r="S73" i="17"/>
  <c r="S67" i="17"/>
  <c r="S66" i="17"/>
  <c r="S65" i="17"/>
  <c r="S64" i="17"/>
  <c r="S69" i="17"/>
  <c r="S70" i="17"/>
  <c r="S99" i="17"/>
  <c r="S93" i="17"/>
  <c r="S89" i="17"/>
  <c r="S85" i="17"/>
  <c r="S77" i="17"/>
  <c r="S108" i="17"/>
  <c r="S102" i="17"/>
  <c r="S98" i="17"/>
  <c r="S90" i="17"/>
  <c r="S86" i="17"/>
  <c r="S82" i="17"/>
  <c r="S76" i="17"/>
  <c r="S112" i="17"/>
  <c r="S101" i="17"/>
  <c r="S97" i="17"/>
  <c r="S91" i="17"/>
  <c r="S87" i="17"/>
  <c r="S83" i="17"/>
  <c r="S79" i="17"/>
  <c r="R74" i="17"/>
  <c r="H94" i="17"/>
  <c r="R80" i="17"/>
  <c r="R103" i="17"/>
  <c r="H103" i="17"/>
  <c r="H80" i="17"/>
  <c r="I108" i="17"/>
  <c r="I100" i="17"/>
  <c r="I93" i="17"/>
  <c r="I97" i="17"/>
  <c r="I102" i="17"/>
  <c r="I112" i="17"/>
  <c r="I99" i="17"/>
  <c r="I92" i="17"/>
  <c r="I105" i="17"/>
  <c r="I89" i="17"/>
  <c r="I87" i="17"/>
  <c r="I77" i="17"/>
  <c r="I98" i="17"/>
  <c r="I86" i="17"/>
  <c r="I72" i="17"/>
  <c r="I67" i="17"/>
  <c r="I83" i="17"/>
  <c r="I64" i="17"/>
  <c r="I82" i="17"/>
  <c r="I101" i="17"/>
  <c r="I96" i="17"/>
  <c r="I76" i="17"/>
  <c r="I69" i="17"/>
  <c r="I88" i="17"/>
  <c r="I91" i="17"/>
  <c r="I90" i="17"/>
  <c r="I85" i="17"/>
  <c r="I71" i="17"/>
  <c r="I66" i="17"/>
  <c r="I79" i="17"/>
  <c r="I111" i="17"/>
  <c r="I78" i="17"/>
  <c r="I73" i="17"/>
  <c r="I70" i="17"/>
  <c r="I109" i="17" l="1"/>
  <c r="S109" i="17"/>
  <c r="S106" i="17"/>
  <c r="I113" i="17"/>
  <c r="G115" i="17"/>
  <c r="G117" i="17" s="1"/>
  <c r="H115" i="17"/>
  <c r="H117" i="17" s="1"/>
  <c r="R115" i="17"/>
  <c r="R117" i="17" s="1"/>
  <c r="S80" i="17"/>
  <c r="S94" i="17"/>
  <c r="S103" i="17"/>
  <c r="S113" i="17"/>
  <c r="T112" i="17"/>
  <c r="T111" i="17"/>
  <c r="T108" i="17"/>
  <c r="T105" i="17"/>
  <c r="T102" i="17"/>
  <c r="T101" i="17"/>
  <c r="T100" i="17"/>
  <c r="T99" i="17"/>
  <c r="T98" i="17"/>
  <c r="T97" i="17"/>
  <c r="T96" i="17"/>
  <c r="T93" i="17"/>
  <c r="T92" i="17"/>
  <c r="T91" i="17"/>
  <c r="T90" i="17"/>
  <c r="T89" i="17"/>
  <c r="T88" i="17"/>
  <c r="T87" i="17"/>
  <c r="T86" i="17"/>
  <c r="T85" i="17"/>
  <c r="T84" i="17"/>
  <c r="T83" i="17"/>
  <c r="T82" i="17"/>
  <c r="T78" i="17"/>
  <c r="T73" i="17"/>
  <c r="T67" i="17"/>
  <c r="T66" i="17"/>
  <c r="T65" i="17"/>
  <c r="T64" i="17"/>
  <c r="T70" i="17"/>
  <c r="T77" i="17"/>
  <c r="T72" i="17"/>
  <c r="T69" i="17"/>
  <c r="T76" i="17"/>
  <c r="T71" i="17"/>
  <c r="I74" i="17"/>
  <c r="I103" i="17"/>
  <c r="I80" i="17"/>
  <c r="I94" i="17"/>
  <c r="J108" i="17"/>
  <c r="J100" i="17"/>
  <c r="J97" i="17"/>
  <c r="J90" i="17"/>
  <c r="J85" i="17"/>
  <c r="J102" i="17"/>
  <c r="J112" i="17"/>
  <c r="J99" i="17"/>
  <c r="J92" i="17"/>
  <c r="J87" i="17"/>
  <c r="J105" i="17"/>
  <c r="J101" i="17"/>
  <c r="J96" i="17"/>
  <c r="J93" i="17"/>
  <c r="J86" i="17"/>
  <c r="J72" i="17"/>
  <c r="J67" i="17"/>
  <c r="J83" i="17"/>
  <c r="J64" i="17"/>
  <c r="J76" i="17"/>
  <c r="J69" i="17"/>
  <c r="J91" i="17"/>
  <c r="J89" i="17"/>
  <c r="J71" i="17"/>
  <c r="J66" i="17"/>
  <c r="J79" i="17"/>
  <c r="J111" i="17"/>
  <c r="J98" i="17"/>
  <c r="J88" i="17"/>
  <c r="J84" i="17"/>
  <c r="J82" i="17"/>
  <c r="J78" i="17"/>
  <c r="J73" i="17"/>
  <c r="J70" i="17"/>
  <c r="J77" i="17"/>
  <c r="I106" i="17"/>
  <c r="N37" i="2"/>
  <c r="T109" i="17" l="1"/>
  <c r="T106" i="17"/>
  <c r="J106" i="17"/>
  <c r="J37" i="2"/>
  <c r="H37" i="2"/>
  <c r="L37" i="2"/>
  <c r="T113" i="17"/>
  <c r="T103" i="17"/>
  <c r="I115" i="17"/>
  <c r="T94" i="17"/>
  <c r="U112" i="17"/>
  <c r="U111" i="17"/>
  <c r="U108" i="17"/>
  <c r="U105" i="17"/>
  <c r="U102" i="17"/>
  <c r="U101" i="17"/>
  <c r="U100" i="17"/>
  <c r="U99" i="17"/>
  <c r="U97" i="17"/>
  <c r="U96" i="17"/>
  <c r="U93" i="17"/>
  <c r="U92" i="17"/>
  <c r="U91" i="17"/>
  <c r="U90" i="17"/>
  <c r="U89" i="17"/>
  <c r="U88" i="17"/>
  <c r="U87" i="17"/>
  <c r="U86" i="17"/>
  <c r="U85" i="17"/>
  <c r="U84" i="17"/>
  <c r="U83" i="17"/>
  <c r="U82" i="17"/>
  <c r="U79" i="17"/>
  <c r="U78" i="17"/>
  <c r="U77" i="17"/>
  <c r="U73" i="17"/>
  <c r="U72" i="17"/>
  <c r="U71" i="17"/>
  <c r="U69" i="17"/>
  <c r="U67" i="17"/>
  <c r="U66" i="17"/>
  <c r="U65" i="17"/>
  <c r="U64" i="17"/>
  <c r="T74" i="17"/>
  <c r="J103" i="17"/>
  <c r="J113" i="17"/>
  <c r="K105" i="17"/>
  <c r="K96" i="17"/>
  <c r="K69" i="17"/>
  <c r="K78" i="17"/>
  <c r="K102" i="17"/>
  <c r="K87" i="17"/>
  <c r="K82" i="17"/>
  <c r="K101" i="17"/>
  <c r="K100" i="17"/>
  <c r="K76" i="17"/>
  <c r="K90" i="17"/>
  <c r="K112" i="17"/>
  <c r="K77" i="17"/>
  <c r="K111" i="17"/>
  <c r="K85" i="17"/>
  <c r="K99" i="17"/>
  <c r="K71" i="17"/>
  <c r="K86" i="17"/>
  <c r="K70" i="17"/>
  <c r="K93" i="17"/>
  <c r="K73" i="17"/>
  <c r="K66" i="17"/>
  <c r="K89" i="17"/>
  <c r="K65" i="17"/>
  <c r="K79" i="17"/>
  <c r="K98" i="17"/>
  <c r="K88" i="17"/>
  <c r="K108" i="17"/>
  <c r="K97" i="17"/>
  <c r="K64" i="17"/>
  <c r="K84" i="17"/>
  <c r="K83" i="17"/>
  <c r="K72" i="17"/>
  <c r="K92" i="17"/>
  <c r="K91" i="17"/>
  <c r="K67" i="17"/>
  <c r="J109" i="17"/>
  <c r="J80" i="17"/>
  <c r="J94" i="17"/>
  <c r="AC113" i="1"/>
  <c r="AC109" i="1"/>
  <c r="AC106" i="1"/>
  <c r="AC103" i="1"/>
  <c r="AC94" i="1"/>
  <c r="AC62" i="1"/>
  <c r="AC25" i="1"/>
  <c r="AC22" i="1"/>
  <c r="AC17" i="1"/>
  <c r="AC13" i="1"/>
  <c r="K109" i="17" l="1"/>
  <c r="U109" i="17"/>
  <c r="U106" i="17"/>
  <c r="U113" i="17"/>
  <c r="U94" i="17"/>
  <c r="V112" i="17"/>
  <c r="V111" i="17"/>
  <c r="V108" i="17"/>
  <c r="V105" i="17"/>
  <c r="V102" i="17"/>
  <c r="V101" i="17"/>
  <c r="V100" i="17"/>
  <c r="V99" i="17"/>
  <c r="V98" i="17"/>
  <c r="V97" i="17"/>
  <c r="V96" i="17"/>
  <c r="V93" i="17"/>
  <c r="V92" i="17"/>
  <c r="V91" i="17"/>
  <c r="V90" i="17"/>
  <c r="V89" i="17"/>
  <c r="V88" i="17"/>
  <c r="V87" i="17"/>
  <c r="V86" i="17"/>
  <c r="V85" i="17"/>
  <c r="V84" i="17"/>
  <c r="V83" i="17"/>
  <c r="V82" i="17"/>
  <c r="V79" i="17"/>
  <c r="V73" i="17"/>
  <c r="V72" i="17"/>
  <c r="V71" i="17"/>
  <c r="V70" i="17"/>
  <c r="V69" i="17"/>
  <c r="V65" i="17"/>
  <c r="V67" i="17"/>
  <c r="V66" i="17"/>
  <c r="V64" i="17"/>
  <c r="K74" i="17"/>
  <c r="K113" i="17"/>
  <c r="K80" i="17"/>
  <c r="L102" i="17"/>
  <c r="L87" i="17"/>
  <c r="L82" i="17"/>
  <c r="L112" i="17"/>
  <c r="L105" i="17"/>
  <c r="L99" i="17"/>
  <c r="L96" i="17"/>
  <c r="L89" i="17"/>
  <c r="L84" i="17"/>
  <c r="L101" i="17"/>
  <c r="L111" i="17"/>
  <c r="L98" i="17"/>
  <c r="L91" i="17"/>
  <c r="L86" i="17"/>
  <c r="L108" i="17"/>
  <c r="L83" i="17"/>
  <c r="L69" i="17"/>
  <c r="L64" i="17"/>
  <c r="L77" i="17"/>
  <c r="L76" i="17"/>
  <c r="L92" i="17"/>
  <c r="L71" i="17"/>
  <c r="L66" i="17"/>
  <c r="L90" i="17"/>
  <c r="L85" i="17"/>
  <c r="L79" i="17"/>
  <c r="L78" i="17"/>
  <c r="L88" i="17"/>
  <c r="L73" i="17"/>
  <c r="L65" i="17"/>
  <c r="L100" i="17"/>
  <c r="L70" i="17"/>
  <c r="L97" i="17"/>
  <c r="L72" i="17"/>
  <c r="L93" i="17"/>
  <c r="L67" i="17"/>
  <c r="K103" i="17"/>
  <c r="K106" i="17"/>
  <c r="K94" i="17"/>
  <c r="AC27" i="1"/>
  <c r="AC80" i="1"/>
  <c r="L109" i="17" l="1"/>
  <c r="V109" i="17"/>
  <c r="L106" i="17"/>
  <c r="V106" i="17"/>
  <c r="L80" i="17"/>
  <c r="L113" i="17"/>
  <c r="X112" i="17"/>
  <c r="X111" i="17"/>
  <c r="X108" i="17"/>
  <c r="X105" i="17"/>
  <c r="X102" i="17"/>
  <c r="X101" i="17"/>
  <c r="X100" i="17"/>
  <c r="X99" i="17"/>
  <c r="X98" i="17"/>
  <c r="X97" i="17"/>
  <c r="X96" i="17"/>
  <c r="X92" i="17"/>
  <c r="X88" i="17"/>
  <c r="X84" i="17"/>
  <c r="X67" i="17"/>
  <c r="X77" i="17"/>
  <c r="X72" i="17"/>
  <c r="X91" i="17"/>
  <c r="X83" i="17"/>
  <c r="X93" i="17"/>
  <c r="X89" i="17"/>
  <c r="X85" i="17"/>
  <c r="X87" i="17"/>
  <c r="X76" i="17"/>
  <c r="X71" i="17"/>
  <c r="X69" i="17"/>
  <c r="X90" i="17"/>
  <c r="X86" i="17"/>
  <c r="X79" i="17"/>
  <c r="X66" i="17"/>
  <c r="X65" i="17"/>
  <c r="X78" i="17"/>
  <c r="X73" i="17"/>
  <c r="X70" i="17"/>
  <c r="V113" i="17"/>
  <c r="L103" i="17"/>
  <c r="V94" i="17"/>
  <c r="V74" i="17"/>
  <c r="V103" i="17"/>
  <c r="K115" i="17"/>
  <c r="M102" i="17"/>
  <c r="M112" i="17"/>
  <c r="M105" i="17"/>
  <c r="M99" i="17"/>
  <c r="M92" i="17"/>
  <c r="M96" i="17"/>
  <c r="M101" i="17"/>
  <c r="M111" i="17"/>
  <c r="M98" i="17"/>
  <c r="M91" i="17"/>
  <c r="M88" i="17"/>
  <c r="M83" i="17"/>
  <c r="M79" i="17"/>
  <c r="M76" i="17"/>
  <c r="M93" i="17"/>
  <c r="M71" i="17"/>
  <c r="M66" i="17"/>
  <c r="M90" i="17"/>
  <c r="M89" i="17"/>
  <c r="M85" i="17"/>
  <c r="M78" i="17"/>
  <c r="M97" i="17"/>
  <c r="M73" i="17"/>
  <c r="M100" i="17"/>
  <c r="M84" i="17"/>
  <c r="M82" i="17"/>
  <c r="M70" i="17"/>
  <c r="M65" i="17"/>
  <c r="M77" i="17"/>
  <c r="M87" i="17"/>
  <c r="M67" i="17"/>
  <c r="M69" i="17"/>
  <c r="M108" i="17"/>
  <c r="M86" i="17"/>
  <c r="M72" i="17"/>
  <c r="M64" i="17"/>
  <c r="L94" i="17"/>
  <c r="L74" i="17"/>
  <c r="X109" i="17" l="1"/>
  <c r="M109" i="17"/>
  <c r="X106" i="17"/>
  <c r="L115" i="17"/>
  <c r="X80" i="17"/>
  <c r="M113" i="17"/>
  <c r="Y112" i="17"/>
  <c r="Y111" i="17"/>
  <c r="Y105" i="17"/>
  <c r="Y102" i="17"/>
  <c r="Y101" i="17"/>
  <c r="Y100" i="17"/>
  <c r="Y99" i="17"/>
  <c r="Y98" i="17"/>
  <c r="Y97" i="17"/>
  <c r="Y96" i="17"/>
  <c r="Y77" i="17"/>
  <c r="Y72" i="17"/>
  <c r="Y93" i="17"/>
  <c r="Y89" i="17"/>
  <c r="Y85" i="17"/>
  <c r="Y70" i="17"/>
  <c r="Y76" i="17"/>
  <c r="Y71" i="17"/>
  <c r="Y69" i="17"/>
  <c r="Y78" i="17"/>
  <c r="Y90" i="17"/>
  <c r="Y86" i="17"/>
  <c r="Y82" i="17"/>
  <c r="Y79" i="17"/>
  <c r="Y67" i="17"/>
  <c r="Y66" i="17"/>
  <c r="Y65" i="17"/>
  <c r="Y64" i="17"/>
  <c r="Y91" i="17"/>
  <c r="Y87" i="17"/>
  <c r="Y83" i="17"/>
  <c r="Y92" i="17"/>
  <c r="Y88" i="17"/>
  <c r="Y84" i="17"/>
  <c r="Y73" i="17"/>
  <c r="X103" i="17"/>
  <c r="X74" i="17"/>
  <c r="X113" i="17"/>
  <c r="M94" i="17"/>
  <c r="M106" i="17"/>
  <c r="N112" i="17"/>
  <c r="N105" i="17"/>
  <c r="N99" i="17"/>
  <c r="N89" i="17"/>
  <c r="N84" i="17"/>
  <c r="N101" i="17"/>
  <c r="N111" i="17"/>
  <c r="N98" i="17"/>
  <c r="N91" i="17"/>
  <c r="N86" i="17"/>
  <c r="N108" i="17"/>
  <c r="N100" i="17"/>
  <c r="N93" i="17"/>
  <c r="N71" i="17"/>
  <c r="N66" i="17"/>
  <c r="N90" i="17"/>
  <c r="N85" i="17"/>
  <c r="N78" i="17"/>
  <c r="N79" i="17"/>
  <c r="N73" i="17"/>
  <c r="N88" i="17"/>
  <c r="N82" i="17"/>
  <c r="N70" i="17"/>
  <c r="N102" i="17"/>
  <c r="N77" i="17"/>
  <c r="N97" i="17"/>
  <c r="N92" i="17"/>
  <c r="N87" i="17"/>
  <c r="N72" i="17"/>
  <c r="N69" i="17"/>
  <c r="N76" i="17"/>
  <c r="N83" i="17"/>
  <c r="M80" i="17"/>
  <c r="M103" i="17"/>
  <c r="M74" i="17"/>
  <c r="Z39" i="4"/>
  <c r="A1" i="16"/>
  <c r="N109" i="17" l="1"/>
  <c r="Y106" i="17"/>
  <c r="N106" i="17"/>
  <c r="N113" i="17"/>
  <c r="Y80" i="17"/>
  <c r="Y103" i="17"/>
  <c r="Y74" i="17"/>
  <c r="Y94" i="17"/>
  <c r="Y113" i="17"/>
  <c r="Z112" i="17"/>
  <c r="Z111" i="17"/>
  <c r="Z108" i="17"/>
  <c r="Z105" i="17"/>
  <c r="Z102" i="17"/>
  <c r="Z101" i="17"/>
  <c r="Z100" i="17"/>
  <c r="Z99" i="17"/>
  <c r="Z98" i="17"/>
  <c r="Z97" i="17"/>
  <c r="Z96" i="17"/>
  <c r="Z93" i="17"/>
  <c r="Z92" i="17"/>
  <c r="Z91" i="17"/>
  <c r="Z90" i="17"/>
  <c r="Z89" i="17"/>
  <c r="Z88" i="17"/>
  <c r="Z87" i="17"/>
  <c r="Z86" i="17"/>
  <c r="Z85" i="17"/>
  <c r="Z84" i="17"/>
  <c r="Z83" i="17"/>
  <c r="Z82" i="17"/>
  <c r="Z76" i="17"/>
  <c r="Z71" i="17"/>
  <c r="Z69" i="17"/>
  <c r="Z79" i="17"/>
  <c r="Z67" i="17"/>
  <c r="Z66" i="17"/>
  <c r="Z65" i="17"/>
  <c r="Z64" i="17"/>
  <c r="Z78" i="17"/>
  <c r="Z73" i="17"/>
  <c r="Z70" i="17"/>
  <c r="Z77" i="17"/>
  <c r="Z72" i="17"/>
  <c r="N80" i="17"/>
  <c r="N94" i="17"/>
  <c r="O101" i="17"/>
  <c r="O111" i="17"/>
  <c r="O98" i="17"/>
  <c r="O108" i="17"/>
  <c r="O100" i="17"/>
  <c r="O93" i="17"/>
  <c r="O97" i="17"/>
  <c r="O90" i="17"/>
  <c r="O85" i="17"/>
  <c r="O78" i="17"/>
  <c r="O89" i="17"/>
  <c r="O79" i="17"/>
  <c r="O73" i="17"/>
  <c r="O105" i="17"/>
  <c r="O91" i="17"/>
  <c r="O82" i="17"/>
  <c r="O70" i="17"/>
  <c r="O65" i="17"/>
  <c r="O76" i="17"/>
  <c r="O102" i="17"/>
  <c r="O84" i="17"/>
  <c r="O77" i="17"/>
  <c r="O92" i="17"/>
  <c r="O87" i="17"/>
  <c r="O72" i="17"/>
  <c r="O67" i="17"/>
  <c r="O112" i="17"/>
  <c r="O99" i="17"/>
  <c r="O69" i="17"/>
  <c r="O83" i="17"/>
  <c r="O71" i="17"/>
  <c r="O66" i="17"/>
  <c r="O109" i="17" l="1"/>
  <c r="Z109" i="17"/>
  <c r="Z106" i="17"/>
  <c r="Z113" i="17"/>
  <c r="Z74" i="17"/>
  <c r="Z80" i="17"/>
  <c r="Z94" i="17"/>
  <c r="O113" i="17"/>
  <c r="AA112" i="17"/>
  <c r="AA111" i="17"/>
  <c r="AA108" i="17"/>
  <c r="AA105" i="17"/>
  <c r="AA102" i="17"/>
  <c r="AA101" i="17"/>
  <c r="AA100" i="17"/>
  <c r="AA99" i="17"/>
  <c r="AA98" i="17"/>
  <c r="AA97" i="17"/>
  <c r="AA93" i="17"/>
  <c r="AA92" i="17"/>
  <c r="AA90" i="17"/>
  <c r="AA89" i="17"/>
  <c r="AA88" i="17"/>
  <c r="AA87" i="17"/>
  <c r="AA86" i="17"/>
  <c r="AA85" i="17"/>
  <c r="AA84" i="17"/>
  <c r="AA83" i="17"/>
  <c r="AA82" i="17"/>
  <c r="AA79" i="17"/>
  <c r="AA78" i="17"/>
  <c r="AA77" i="17"/>
  <c r="AA76" i="17"/>
  <c r="AA73" i="17"/>
  <c r="AA72" i="17"/>
  <c r="AA71" i="17"/>
  <c r="AA70" i="17"/>
  <c r="AA69" i="17"/>
  <c r="AA67" i="17"/>
  <c r="AA66" i="17"/>
  <c r="AA65" i="17"/>
  <c r="AA64" i="17"/>
  <c r="Z103" i="17"/>
  <c r="O106" i="17"/>
  <c r="Q101" i="17"/>
  <c r="Q111" i="17"/>
  <c r="Q98" i="17"/>
  <c r="Q91" i="17"/>
  <c r="Q86" i="17"/>
  <c r="Q108" i="17"/>
  <c r="Q100" i="17"/>
  <c r="Q93" i="17"/>
  <c r="Q97" i="17"/>
  <c r="Q90" i="17"/>
  <c r="Q102" i="17"/>
  <c r="Q87" i="17"/>
  <c r="Q82" i="17"/>
  <c r="Q78" i="17"/>
  <c r="Q89" i="17"/>
  <c r="Q85" i="17"/>
  <c r="Q79" i="17"/>
  <c r="Q73" i="17"/>
  <c r="Q105" i="17"/>
  <c r="Q96" i="17"/>
  <c r="Q70" i="17"/>
  <c r="Q65" i="17"/>
  <c r="Q88" i="17"/>
  <c r="Q84" i="17"/>
  <c r="Q77" i="17"/>
  <c r="Q92" i="17"/>
  <c r="Q72" i="17"/>
  <c r="Q67" i="17"/>
  <c r="Q112" i="17"/>
  <c r="Q99" i="17"/>
  <c r="Q69" i="17"/>
  <c r="Q64" i="17"/>
  <c r="Q83" i="17"/>
  <c r="Q76" i="17"/>
  <c r="Q66" i="17"/>
  <c r="Q71" i="17"/>
  <c r="O80" i="17"/>
  <c r="Q109" i="17" l="1"/>
  <c r="AA109" i="17"/>
  <c r="Q106" i="17"/>
  <c r="AA106" i="17"/>
  <c r="AA80" i="17"/>
  <c r="Z115" i="17"/>
  <c r="Q80" i="17"/>
  <c r="AA74" i="17"/>
  <c r="AB111" i="17"/>
  <c r="AB105" i="17"/>
  <c r="AB100" i="17"/>
  <c r="AB96" i="17"/>
  <c r="AB93" i="17"/>
  <c r="AB89" i="17"/>
  <c r="AB85" i="17"/>
  <c r="AB76" i="17"/>
  <c r="AB71" i="17"/>
  <c r="AB69" i="17"/>
  <c r="AB97" i="17"/>
  <c r="AB66" i="17"/>
  <c r="AB65" i="17"/>
  <c r="AB64" i="17"/>
  <c r="AB88" i="17"/>
  <c r="AB77" i="17"/>
  <c r="AB72" i="17"/>
  <c r="AB99" i="17"/>
  <c r="AB90" i="17"/>
  <c r="AB86" i="17"/>
  <c r="AB82" i="17"/>
  <c r="AB79" i="17"/>
  <c r="AB67" i="17"/>
  <c r="AB112" i="17"/>
  <c r="AB92" i="17"/>
  <c r="AB84" i="17"/>
  <c r="AB108" i="17"/>
  <c r="AB102" i="17"/>
  <c r="AB98" i="17"/>
  <c r="AB91" i="17"/>
  <c r="AB87" i="17"/>
  <c r="AB83" i="17"/>
  <c r="AB78" i="17"/>
  <c r="AB73" i="17"/>
  <c r="AB70" i="17"/>
  <c r="AB101" i="17"/>
  <c r="AA113" i="17"/>
  <c r="Q103" i="17"/>
  <c r="AI111" i="17"/>
  <c r="AI98" i="17"/>
  <c r="AI88" i="17"/>
  <c r="AI83" i="17"/>
  <c r="AI79" i="17"/>
  <c r="AI108" i="17"/>
  <c r="AI100" i="17"/>
  <c r="AI93" i="17"/>
  <c r="AI97" i="17"/>
  <c r="AI90" i="17"/>
  <c r="AI85" i="17"/>
  <c r="AI102" i="17"/>
  <c r="AI112" i="17"/>
  <c r="AI105" i="17"/>
  <c r="AI99" i="17"/>
  <c r="AI92" i="17"/>
  <c r="AI96" i="17"/>
  <c r="AI70" i="17"/>
  <c r="AI65" i="17"/>
  <c r="AI91" i="17"/>
  <c r="AI84" i="17"/>
  <c r="AI82" i="17"/>
  <c r="AI77" i="17"/>
  <c r="AI101" i="17"/>
  <c r="AI72" i="17"/>
  <c r="AI67" i="17"/>
  <c r="AI87" i="17"/>
  <c r="AI69" i="17"/>
  <c r="AI64" i="17"/>
  <c r="AI76" i="17"/>
  <c r="AI86" i="17"/>
  <c r="AI71" i="17"/>
  <c r="AI66" i="17"/>
  <c r="AI89" i="17"/>
  <c r="AI78" i="17"/>
  <c r="AI73" i="17"/>
  <c r="Q94" i="17"/>
  <c r="Q74" i="17"/>
  <c r="Q113" i="17"/>
  <c r="AC74" i="1"/>
  <c r="AC115" i="1" s="1"/>
  <c r="AC117" i="1" s="1"/>
  <c r="AI109" i="17" l="1"/>
  <c r="AB109" i="17"/>
  <c r="AB106" i="17"/>
  <c r="AI106" i="17"/>
  <c r="AB103" i="17"/>
  <c r="Q115" i="17"/>
  <c r="Q117" i="17" s="1"/>
  <c r="AB113" i="17"/>
  <c r="AB80" i="17"/>
  <c r="AB74" i="17"/>
  <c r="AB94" i="17"/>
  <c r="AC112" i="17"/>
  <c r="AC111" i="17"/>
  <c r="AC108" i="17"/>
  <c r="AC105" i="17"/>
  <c r="AC102" i="17"/>
  <c r="AC101" i="17"/>
  <c r="AC100" i="17"/>
  <c r="AC98" i="17"/>
  <c r="AC97" i="17"/>
  <c r="AC96" i="17"/>
  <c r="AC93" i="17"/>
  <c r="AC90" i="17"/>
  <c r="AC89" i="17"/>
  <c r="AC88" i="17"/>
  <c r="AC87" i="17"/>
  <c r="AC86" i="17"/>
  <c r="AC85" i="17"/>
  <c r="AC84" i="17"/>
  <c r="AC83" i="17"/>
  <c r="AC82" i="17"/>
  <c r="AC66" i="17"/>
  <c r="AC65" i="17"/>
  <c r="AC64" i="17"/>
  <c r="AC79" i="17"/>
  <c r="AC67" i="17"/>
  <c r="AC78" i="17"/>
  <c r="AC73" i="17"/>
  <c r="AC70" i="17"/>
  <c r="AC77" i="17"/>
  <c r="AC72" i="17"/>
  <c r="AC76" i="17"/>
  <c r="AC71" i="17"/>
  <c r="AC69" i="17"/>
  <c r="AI94" i="17"/>
  <c r="AI103" i="17"/>
  <c r="AJ108" i="17"/>
  <c r="AJ100" i="17"/>
  <c r="AJ93" i="17"/>
  <c r="AJ97" i="17"/>
  <c r="AJ102" i="17"/>
  <c r="AJ87" i="17"/>
  <c r="AJ112" i="17"/>
  <c r="AJ105" i="17"/>
  <c r="AJ99" i="17"/>
  <c r="AJ92" i="17"/>
  <c r="AJ96" i="17"/>
  <c r="AJ89" i="17"/>
  <c r="AJ84" i="17"/>
  <c r="AJ91" i="17"/>
  <c r="AJ90" i="17"/>
  <c r="AJ82" i="17"/>
  <c r="AJ77" i="17"/>
  <c r="AJ73" i="17"/>
  <c r="AJ101" i="17"/>
  <c r="AJ88" i="17"/>
  <c r="AJ72" i="17"/>
  <c r="AJ67" i="17"/>
  <c r="AJ69" i="17"/>
  <c r="AJ64" i="17"/>
  <c r="AJ78" i="17"/>
  <c r="AJ76" i="17"/>
  <c r="AJ111" i="17"/>
  <c r="AJ98" i="17"/>
  <c r="AJ86" i="17"/>
  <c r="AJ83" i="17"/>
  <c r="AJ71" i="17"/>
  <c r="AJ66" i="17"/>
  <c r="AJ70" i="17"/>
  <c r="AJ65" i="17"/>
  <c r="AJ79" i="17"/>
  <c r="AJ85" i="17"/>
  <c r="AI113" i="17"/>
  <c r="AI80" i="17"/>
  <c r="AI74" i="17"/>
  <c r="X18" i="3"/>
  <c r="Z18" i="3" s="1"/>
  <c r="AB18" i="3" s="1"/>
  <c r="AD18" i="3" s="1"/>
  <c r="C20" i="3"/>
  <c r="Y85" i="3"/>
  <c r="Y18" i="3" l="1"/>
  <c r="AA18" i="3" s="1"/>
  <c r="AC18" i="3" s="1"/>
  <c r="AE18" i="3" s="1"/>
  <c r="K104" i="3"/>
  <c r="AJ109" i="17"/>
  <c r="AC109" i="17"/>
  <c r="AJ106" i="17"/>
  <c r="AC106" i="17"/>
  <c r="AB115" i="17"/>
  <c r="AI115" i="17"/>
  <c r="AI117" i="17" s="1"/>
  <c r="AJ74" i="17"/>
  <c r="AJ94" i="17"/>
  <c r="AD112" i="17"/>
  <c r="AD111" i="17"/>
  <c r="AD108" i="17"/>
  <c r="AD105" i="17"/>
  <c r="AD102" i="17"/>
  <c r="AD101" i="17"/>
  <c r="AD100" i="17"/>
  <c r="AD99" i="17"/>
  <c r="AD98" i="17"/>
  <c r="AD97" i="17"/>
  <c r="AD96" i="17"/>
  <c r="AD93" i="17"/>
  <c r="AD92" i="17"/>
  <c r="AD91" i="17"/>
  <c r="AD90" i="17"/>
  <c r="AD89" i="17"/>
  <c r="AD88" i="17"/>
  <c r="AD87" i="17"/>
  <c r="AD86" i="17"/>
  <c r="AD85" i="17"/>
  <c r="AD84" i="17"/>
  <c r="AD83" i="17"/>
  <c r="AD82" i="17"/>
  <c r="AD79" i="17"/>
  <c r="AD78" i="17"/>
  <c r="AD77" i="17"/>
  <c r="AD76" i="17"/>
  <c r="AD73" i="17"/>
  <c r="AD72" i="17"/>
  <c r="AD71" i="17"/>
  <c r="AD67" i="17"/>
  <c r="AD70" i="17"/>
  <c r="AD69" i="17"/>
  <c r="AD66" i="17"/>
  <c r="AD65" i="17"/>
  <c r="AD64" i="17"/>
  <c r="AJ113" i="17"/>
  <c r="AC80" i="17"/>
  <c r="AC74" i="17"/>
  <c r="AC113" i="17"/>
  <c r="AJ103" i="17"/>
  <c r="AJ80" i="17"/>
  <c r="AK108" i="17"/>
  <c r="AK100" i="17"/>
  <c r="AK97" i="17"/>
  <c r="AK90" i="17"/>
  <c r="AK85" i="17"/>
  <c r="AK102" i="17"/>
  <c r="AK112" i="17"/>
  <c r="AK105" i="17"/>
  <c r="AK99" i="17"/>
  <c r="AK92" i="17"/>
  <c r="AK96" i="17"/>
  <c r="AK89" i="17"/>
  <c r="AK101" i="17"/>
  <c r="AK88" i="17"/>
  <c r="AK84" i="17"/>
  <c r="AK72" i="17"/>
  <c r="AK67" i="17"/>
  <c r="AK69" i="17"/>
  <c r="AK64" i="17"/>
  <c r="AK87" i="17"/>
  <c r="AK76" i="17"/>
  <c r="AK111" i="17"/>
  <c r="AK98" i="17"/>
  <c r="AK86" i="17"/>
  <c r="AK83" i="17"/>
  <c r="AK71" i="17"/>
  <c r="AK66" i="17"/>
  <c r="AK93" i="17"/>
  <c r="AK78" i="17"/>
  <c r="AK73" i="17"/>
  <c r="AK79" i="17"/>
  <c r="AK65" i="17"/>
  <c r="AK77" i="17"/>
  <c r="AK82" i="17"/>
  <c r="AK91" i="17"/>
  <c r="AK70" i="17"/>
  <c r="J73" i="3"/>
  <c r="K18" i="3"/>
  <c r="K111" i="3" s="1"/>
  <c r="AA85" i="3"/>
  <c r="J20" i="3"/>
  <c r="W111" i="3" l="1"/>
  <c r="L111" i="3"/>
  <c r="M111" i="3"/>
  <c r="N111" i="3"/>
  <c r="O111" i="3"/>
  <c r="P111" i="3"/>
  <c r="Q111" i="3"/>
  <c r="R111" i="3"/>
  <c r="K54" i="1" s="1"/>
  <c r="S111" i="3"/>
  <c r="L54" i="1" s="1"/>
  <c r="T111" i="3"/>
  <c r="M54" i="1" s="1"/>
  <c r="U111" i="3"/>
  <c r="N54" i="1" s="1"/>
  <c r="V111" i="3"/>
  <c r="O54" i="1" s="1"/>
  <c r="AE20" i="3"/>
  <c r="K102" i="3"/>
  <c r="AK109" i="17"/>
  <c r="AD109" i="17"/>
  <c r="AK106" i="17"/>
  <c r="AD106" i="17"/>
  <c r="AD80" i="17"/>
  <c r="AK113" i="17"/>
  <c r="AD103" i="17"/>
  <c r="AJ115" i="17"/>
  <c r="AE112" i="17"/>
  <c r="AE111" i="17"/>
  <c r="AE108" i="17"/>
  <c r="AE105" i="17"/>
  <c r="AE102" i="17"/>
  <c r="AE101" i="17"/>
  <c r="AE100" i="17"/>
  <c r="AE99" i="17"/>
  <c r="AE98" i="17"/>
  <c r="AE97" i="17"/>
  <c r="AE96" i="17"/>
  <c r="AE93" i="17"/>
  <c r="AE92" i="17"/>
  <c r="AE91" i="17"/>
  <c r="AE90" i="17"/>
  <c r="AE89" i="17"/>
  <c r="AE88" i="17"/>
  <c r="AE87" i="17"/>
  <c r="AE86" i="17"/>
  <c r="AE85" i="17"/>
  <c r="AE84" i="17"/>
  <c r="AE83" i="17"/>
  <c r="AE82" i="17"/>
  <c r="AE79" i="17"/>
  <c r="AE78" i="17"/>
  <c r="AE77" i="17"/>
  <c r="AE76" i="17"/>
  <c r="AE73" i="17"/>
  <c r="AE72" i="17"/>
  <c r="AE71" i="17"/>
  <c r="AE70" i="17"/>
  <c r="AE69" i="17"/>
  <c r="AE66" i="17"/>
  <c r="AE64" i="17"/>
  <c r="AE67" i="17"/>
  <c r="AE65" i="17"/>
  <c r="AD74" i="17"/>
  <c r="AD113" i="17"/>
  <c r="AD94" i="17"/>
  <c r="AL97" i="17"/>
  <c r="AL102" i="17"/>
  <c r="AL87" i="17"/>
  <c r="AL82" i="17"/>
  <c r="AL112" i="17"/>
  <c r="AL105" i="17"/>
  <c r="AL99" i="17"/>
  <c r="AL96" i="17"/>
  <c r="AL89" i="17"/>
  <c r="AL84" i="17"/>
  <c r="AL101" i="17"/>
  <c r="AL111" i="17"/>
  <c r="AL98" i="17"/>
  <c r="AL91" i="17"/>
  <c r="AL86" i="17"/>
  <c r="AL69" i="17"/>
  <c r="AL64" i="17"/>
  <c r="AL76" i="17"/>
  <c r="AL65" i="17"/>
  <c r="AL108" i="17"/>
  <c r="AL92" i="17"/>
  <c r="AL83" i="17"/>
  <c r="AL71" i="17"/>
  <c r="AL66" i="17"/>
  <c r="AL100" i="17"/>
  <c r="AL85" i="17"/>
  <c r="AL77" i="17"/>
  <c r="AL93" i="17"/>
  <c r="AL78" i="17"/>
  <c r="AL73" i="17"/>
  <c r="AL79" i="17"/>
  <c r="AL70" i="17"/>
  <c r="AL67" i="17"/>
  <c r="AL90" i="17"/>
  <c r="AL72" i="17"/>
  <c r="AL88" i="17"/>
  <c r="AK94" i="17"/>
  <c r="AK74" i="17"/>
  <c r="AK103" i="17"/>
  <c r="AK80" i="17"/>
  <c r="K48" i="3"/>
  <c r="K61" i="3"/>
  <c r="K114" i="3" s="1"/>
  <c r="K35" i="3"/>
  <c r="K67" i="3"/>
  <c r="AH42" i="3"/>
  <c r="K103" i="3"/>
  <c r="K20" i="3"/>
  <c r="K54" i="3"/>
  <c r="K73" i="3"/>
  <c r="AC85" i="3"/>
  <c r="Y20" i="3"/>
  <c r="Z20" i="3"/>
  <c r="AB20" i="3"/>
  <c r="AD20" i="3"/>
  <c r="Q113" i="3" l="1"/>
  <c r="J54" i="1"/>
  <c r="P113" i="3"/>
  <c r="I54" i="1"/>
  <c r="O113" i="3"/>
  <c r="H54" i="1"/>
  <c r="N113" i="3"/>
  <c r="G54" i="1"/>
  <c r="M113" i="3"/>
  <c r="F54" i="1"/>
  <c r="L113" i="3"/>
  <c r="E54" i="1"/>
  <c r="V113" i="3"/>
  <c r="U113" i="3"/>
  <c r="T113" i="3"/>
  <c r="S113" i="3"/>
  <c r="R113" i="3"/>
  <c r="P54" i="1"/>
  <c r="W113" i="3"/>
  <c r="K107" i="3"/>
  <c r="AC20" i="3"/>
  <c r="AA20" i="3"/>
  <c r="AH73" i="3"/>
  <c r="AH67" i="3"/>
  <c r="AH61" i="3"/>
  <c r="AH54" i="3"/>
  <c r="AH48" i="3"/>
  <c r="AH14" i="3"/>
  <c r="K108" i="3"/>
  <c r="K106" i="3"/>
  <c r="AH20" i="3"/>
  <c r="AH26" i="3"/>
  <c r="AE109" i="17"/>
  <c r="AL109" i="17"/>
  <c r="AE106" i="17"/>
  <c r="AL106" i="17"/>
  <c r="AD115" i="17"/>
  <c r="AE94" i="17"/>
  <c r="AL80" i="17"/>
  <c r="AF112" i="17"/>
  <c r="AF111" i="17"/>
  <c r="AF108" i="17"/>
  <c r="AF105" i="17"/>
  <c r="AF102" i="17"/>
  <c r="AF101" i="17"/>
  <c r="AF100" i="17"/>
  <c r="AF99" i="17"/>
  <c r="AF98" i="17"/>
  <c r="AF97" i="17"/>
  <c r="AF96" i="17"/>
  <c r="AF79" i="17"/>
  <c r="AF90" i="17"/>
  <c r="AF86" i="17"/>
  <c r="AF82" i="17"/>
  <c r="AF70" i="17"/>
  <c r="AF67" i="17"/>
  <c r="AF78" i="17"/>
  <c r="AF73" i="17"/>
  <c r="AF76" i="17"/>
  <c r="AF71" i="17"/>
  <c r="AF91" i="17"/>
  <c r="AF87" i="17"/>
  <c r="AF83" i="17"/>
  <c r="AF77" i="17"/>
  <c r="AF72" i="17"/>
  <c r="AF66" i="17"/>
  <c r="AF92" i="17"/>
  <c r="AF88" i="17"/>
  <c r="AF84" i="17"/>
  <c r="AF69" i="17"/>
  <c r="AF65" i="17"/>
  <c r="AF64" i="17"/>
  <c r="AF93" i="17"/>
  <c r="AF89" i="17"/>
  <c r="AF85" i="17"/>
  <c r="AK115" i="17"/>
  <c r="AK117" i="17" s="1"/>
  <c r="AE74" i="17"/>
  <c r="AE80" i="17"/>
  <c r="AE103" i="17"/>
  <c r="AE113" i="17"/>
  <c r="AM102" i="17"/>
  <c r="AM112" i="17"/>
  <c r="AM105" i="17"/>
  <c r="AM99" i="17"/>
  <c r="AM92" i="17"/>
  <c r="AM96" i="17"/>
  <c r="AM101" i="17"/>
  <c r="AM111" i="17"/>
  <c r="AM98" i="17"/>
  <c r="AM91" i="17"/>
  <c r="AM88" i="17"/>
  <c r="AM83" i="17"/>
  <c r="AM79" i="17"/>
  <c r="AM76" i="17"/>
  <c r="AM89" i="17"/>
  <c r="AM87" i="17"/>
  <c r="AM71" i="17"/>
  <c r="AM66" i="17"/>
  <c r="AM100" i="17"/>
  <c r="AM86" i="17"/>
  <c r="AM93" i="17"/>
  <c r="AM78" i="17"/>
  <c r="AM73" i="17"/>
  <c r="AM82" i="17"/>
  <c r="AM97" i="17"/>
  <c r="AM70" i="17"/>
  <c r="AM65" i="17"/>
  <c r="AM90" i="17"/>
  <c r="AM108" i="17"/>
  <c r="AM85" i="17"/>
  <c r="AM77" i="17"/>
  <c r="AM84" i="17"/>
  <c r="AM69" i="17"/>
  <c r="AM72" i="17"/>
  <c r="AM64" i="17"/>
  <c r="AM67" i="17"/>
  <c r="AL103" i="17"/>
  <c r="AL74" i="17"/>
  <c r="AL113" i="17"/>
  <c r="AL94" i="17"/>
  <c r="K100" i="3"/>
  <c r="AH35" i="3"/>
  <c r="K115" i="3"/>
  <c r="K116" i="3"/>
  <c r="AE85" i="3"/>
  <c r="U54" i="1" l="1"/>
  <c r="T116" i="3"/>
  <c r="M58" i="1" s="1"/>
  <c r="U116" i="3"/>
  <c r="N58" i="1" s="1"/>
  <c r="V116" i="3"/>
  <c r="O58" i="1" s="1"/>
  <c r="W116" i="3"/>
  <c r="P58" i="1" s="1"/>
  <c r="L116" i="3"/>
  <c r="E58" i="1" s="1"/>
  <c r="M116" i="3"/>
  <c r="F58" i="1" s="1"/>
  <c r="N116" i="3"/>
  <c r="G58" i="1" s="1"/>
  <c r="O116" i="3"/>
  <c r="H58" i="1" s="1"/>
  <c r="P116" i="3"/>
  <c r="I58" i="1" s="1"/>
  <c r="Q116" i="3"/>
  <c r="J58" i="1" s="1"/>
  <c r="R116" i="3"/>
  <c r="K58" i="1" s="1"/>
  <c r="S116" i="3"/>
  <c r="L58" i="1" s="1"/>
  <c r="O115" i="3"/>
  <c r="H57" i="1" s="1"/>
  <c r="P115" i="3"/>
  <c r="Q115" i="3"/>
  <c r="J57" i="1" s="1"/>
  <c r="R115" i="3"/>
  <c r="K57" i="1" s="1"/>
  <c r="S115" i="3"/>
  <c r="L57" i="1" s="1"/>
  <c r="T115" i="3"/>
  <c r="M57" i="1" s="1"/>
  <c r="U115" i="3"/>
  <c r="N57" i="1" s="1"/>
  <c r="V115" i="3"/>
  <c r="O57" i="1" s="1"/>
  <c r="W115" i="3"/>
  <c r="L115" i="3"/>
  <c r="E57" i="1" s="1"/>
  <c r="M115" i="3"/>
  <c r="F57" i="1" s="1"/>
  <c r="N115" i="3"/>
  <c r="G57" i="1" s="1"/>
  <c r="M114" i="3"/>
  <c r="F56" i="1" s="1"/>
  <c r="F62" i="1" s="1"/>
  <c r="N114" i="3"/>
  <c r="G56" i="1" s="1"/>
  <c r="G62" i="1" s="1"/>
  <c r="O114" i="3"/>
  <c r="H56" i="1" s="1"/>
  <c r="P114" i="3"/>
  <c r="I56" i="1" s="1"/>
  <c r="Q114" i="3"/>
  <c r="J56" i="1" s="1"/>
  <c r="R114" i="3"/>
  <c r="K56" i="1" s="1"/>
  <c r="S114" i="3"/>
  <c r="L56" i="1" s="1"/>
  <c r="T114" i="3"/>
  <c r="M56" i="1" s="1"/>
  <c r="L114" i="3"/>
  <c r="E56" i="1" s="1"/>
  <c r="U114" i="3"/>
  <c r="N56" i="1" s="1"/>
  <c r="V114" i="3"/>
  <c r="O56" i="1" s="1"/>
  <c r="W114" i="3"/>
  <c r="K109" i="3"/>
  <c r="AM109" i="17"/>
  <c r="AF109" i="17"/>
  <c r="AF106" i="17"/>
  <c r="AM106" i="17"/>
  <c r="AF113" i="17"/>
  <c r="AM103" i="17"/>
  <c r="AE115" i="17"/>
  <c r="AF80" i="17"/>
  <c r="AG112" i="17"/>
  <c r="AG111" i="17"/>
  <c r="AG108" i="17"/>
  <c r="AG105" i="17"/>
  <c r="AG102" i="17"/>
  <c r="AG101" i="17"/>
  <c r="AG100" i="17"/>
  <c r="AG99" i="17"/>
  <c r="AG98" i="17"/>
  <c r="AG97" i="17"/>
  <c r="AG96" i="17"/>
  <c r="AG90" i="17"/>
  <c r="AG86" i="17"/>
  <c r="AG82" i="17"/>
  <c r="AG70" i="17"/>
  <c r="AG78" i="17"/>
  <c r="AG73" i="17"/>
  <c r="AG85" i="17"/>
  <c r="AG91" i="17"/>
  <c r="AG87" i="17"/>
  <c r="AG83" i="17"/>
  <c r="AG89" i="17"/>
  <c r="AG77" i="17"/>
  <c r="AG72" i="17"/>
  <c r="AG92" i="17"/>
  <c r="AG88" i="17"/>
  <c r="AG84" i="17"/>
  <c r="AG69" i="17"/>
  <c r="AG66" i="17"/>
  <c r="AG65" i="17"/>
  <c r="AG64" i="17"/>
  <c r="AG93" i="17"/>
  <c r="AG76" i="17"/>
  <c r="AG71" i="17"/>
  <c r="AG79" i="17"/>
  <c r="AG67" i="17"/>
  <c r="AL115" i="17"/>
  <c r="AL117" i="17" s="1"/>
  <c r="AF74" i="17"/>
  <c r="AF103" i="17"/>
  <c r="AM80" i="17"/>
  <c r="AF94" i="17"/>
  <c r="AM113" i="17"/>
  <c r="AM74" i="17"/>
  <c r="AM94" i="17"/>
  <c r="N62" i="1" l="1"/>
  <c r="J62" i="1"/>
  <c r="M62" i="1"/>
  <c r="L62" i="1"/>
  <c r="H62" i="1"/>
  <c r="U56" i="1"/>
  <c r="U58" i="1"/>
  <c r="O62" i="1"/>
  <c r="E62" i="1"/>
  <c r="E115" i="1" s="1"/>
  <c r="P117" i="3"/>
  <c r="P122" i="3" s="1"/>
  <c r="I57" i="1"/>
  <c r="I62" i="1" s="1"/>
  <c r="K62" i="1"/>
  <c r="R117" i="3"/>
  <c r="R122" i="3" s="1"/>
  <c r="O117" i="3"/>
  <c r="O122" i="3" s="1"/>
  <c r="W117" i="3"/>
  <c r="W122" i="3" s="1"/>
  <c r="P57" i="1"/>
  <c r="M117" i="3"/>
  <c r="M122" i="3" s="1"/>
  <c r="N117" i="3"/>
  <c r="N122" i="3" s="1"/>
  <c r="P56" i="1"/>
  <c r="V117" i="3"/>
  <c r="V122" i="3" s="1"/>
  <c r="L117" i="3"/>
  <c r="T117" i="3"/>
  <c r="T122" i="3" s="1"/>
  <c r="U117" i="3"/>
  <c r="U122" i="3" s="1"/>
  <c r="S117" i="3"/>
  <c r="S122" i="3" s="1"/>
  <c r="Q117" i="3"/>
  <c r="Q122" i="3" s="1"/>
  <c r="AG109" i="17"/>
  <c r="AG106" i="17"/>
  <c r="AG113" i="17"/>
  <c r="AM115" i="17"/>
  <c r="AM117" i="17" s="1"/>
  <c r="AG80" i="17"/>
  <c r="AF115" i="17"/>
  <c r="AF117" i="17" s="1"/>
  <c r="AH112" i="17"/>
  <c r="AH111" i="17"/>
  <c r="AH108" i="17"/>
  <c r="AH105" i="17"/>
  <c r="AH102" i="17"/>
  <c r="AH101" i="17"/>
  <c r="AH100" i="17"/>
  <c r="AH99" i="17"/>
  <c r="AH98" i="17"/>
  <c r="AH97" i="17"/>
  <c r="AH96" i="17"/>
  <c r="AH93" i="17"/>
  <c r="AH92" i="17"/>
  <c r="AH91" i="17"/>
  <c r="AH90" i="17"/>
  <c r="AH89" i="17"/>
  <c r="AH88" i="17"/>
  <c r="AH87" i="17"/>
  <c r="AH86" i="17"/>
  <c r="AH85" i="17"/>
  <c r="AH84" i="17"/>
  <c r="AH83" i="17"/>
  <c r="AH82" i="17"/>
  <c r="AH78" i="17"/>
  <c r="AH73" i="17"/>
  <c r="AH79" i="17"/>
  <c r="AH77" i="17"/>
  <c r="AH72" i="17"/>
  <c r="AH69" i="17"/>
  <c r="AH66" i="17"/>
  <c r="AH65" i="17"/>
  <c r="AH64" i="17"/>
  <c r="AH76" i="17"/>
  <c r="AH71" i="17"/>
  <c r="AH67" i="17"/>
  <c r="AH70" i="17"/>
  <c r="AG94" i="17"/>
  <c r="AG103" i="17"/>
  <c r="AG74" i="17"/>
  <c r="P62" i="1" l="1"/>
  <c r="U57" i="1"/>
  <c r="AH109" i="17"/>
  <c r="AH106" i="17"/>
  <c r="AG115" i="17"/>
  <c r="AH94" i="17"/>
  <c r="AH113" i="17"/>
  <c r="AH74" i="17"/>
  <c r="AH103" i="17"/>
  <c r="AH80" i="17"/>
  <c r="AH115" i="17" l="1"/>
  <c r="AH117" i="17" s="1"/>
  <c r="K74" i="3" l="1"/>
  <c r="J67" i="3"/>
  <c r="J61" i="3"/>
  <c r="J54" i="3"/>
  <c r="J48" i="3"/>
  <c r="J42" i="3"/>
  <c r="J35" i="3"/>
  <c r="J74" i="3" l="1"/>
  <c r="M8" i="6"/>
  <c r="K8" i="6"/>
  <c r="I8" i="6"/>
  <c r="G8" i="6"/>
  <c r="E21" i="7" l="1"/>
  <c r="E21" i="8" s="1"/>
  <c r="E21" i="9" s="1"/>
  <c r="E21" i="10" s="1"/>
  <c r="E19" i="7"/>
  <c r="E19" i="8" s="1"/>
  <c r="E19" i="9" s="1"/>
  <c r="E19" i="10" s="1"/>
  <c r="E15" i="7"/>
  <c r="E15" i="8" s="1"/>
  <c r="E15" i="9" s="1"/>
  <c r="E15" i="10" s="1"/>
  <c r="H24" i="7"/>
  <c r="H24" i="8" s="1"/>
  <c r="H24" i="9" s="1"/>
  <c r="H24" i="10" s="1"/>
  <c r="E20" i="7"/>
  <c r="E20" i="8" s="1"/>
  <c r="E20" i="9" s="1"/>
  <c r="E20" i="10" s="1"/>
  <c r="M21" i="7"/>
  <c r="M21" i="8" s="1"/>
  <c r="M21" i="9" s="1"/>
  <c r="M21" i="10" s="1"/>
  <c r="H15" i="7"/>
  <c r="H15" i="8" s="1"/>
  <c r="H15" i="9" s="1"/>
  <c r="H15" i="10" s="1"/>
  <c r="P24" i="7"/>
  <c r="P24" i="8" s="1"/>
  <c r="P24" i="9" s="1"/>
  <c r="P24" i="10" s="1"/>
  <c r="P20" i="7"/>
  <c r="P20" i="8" s="1"/>
  <c r="P20" i="9" s="1"/>
  <c r="P20" i="10" s="1"/>
  <c r="P16" i="7"/>
  <c r="P16" i="8" s="1"/>
  <c r="P16" i="9" s="1"/>
  <c r="P16" i="10" s="1"/>
  <c r="M24" i="7"/>
  <c r="M24" i="8" s="1"/>
  <c r="M24" i="9" s="1"/>
  <c r="M24" i="10" s="1"/>
  <c r="G24" i="7"/>
  <c r="G24" i="8" s="1"/>
  <c r="G24" i="9" s="1"/>
  <c r="G24" i="10" s="1"/>
  <c r="N21" i="7"/>
  <c r="N21" i="8" s="1"/>
  <c r="N21" i="9" s="1"/>
  <c r="N21" i="10" s="1"/>
  <c r="J19" i="7"/>
  <c r="J19" i="8" s="1"/>
  <c r="J19" i="9" s="1"/>
  <c r="J19" i="10" s="1"/>
  <c r="N24" i="7"/>
  <c r="N24" i="8" s="1"/>
  <c r="N24" i="9" s="1"/>
  <c r="N24" i="10" s="1"/>
  <c r="N20" i="7"/>
  <c r="N20" i="8" s="1"/>
  <c r="N20" i="9" s="1"/>
  <c r="N20" i="10" s="1"/>
  <c r="N16" i="7"/>
  <c r="N16" i="8" s="1"/>
  <c r="N16" i="9" s="1"/>
  <c r="N16" i="10" s="1"/>
  <c r="M20" i="7"/>
  <c r="M20" i="8" s="1"/>
  <c r="M20" i="9" s="1"/>
  <c r="M20" i="10" s="1"/>
  <c r="K20" i="7"/>
  <c r="K20" i="8" s="1"/>
  <c r="K20" i="9" s="1"/>
  <c r="K20" i="10" s="1"/>
  <c r="J16" i="7"/>
  <c r="J16" i="8" s="1"/>
  <c r="J16" i="9" s="1"/>
  <c r="J16" i="10" s="1"/>
  <c r="H20" i="7"/>
  <c r="H20" i="8" s="1"/>
  <c r="H20" i="9" s="1"/>
  <c r="H20" i="10" s="1"/>
  <c r="G16" i="7"/>
  <c r="G16" i="8" s="1"/>
  <c r="G16" i="9" s="1"/>
  <c r="G16" i="10" s="1"/>
  <c r="E16" i="7"/>
  <c r="E16" i="8" s="1"/>
  <c r="E16" i="9" s="1"/>
  <c r="E16" i="10" s="1"/>
  <c r="P15" i="7"/>
  <c r="P15" i="8" s="1"/>
  <c r="P15" i="9" s="1"/>
  <c r="P15" i="10" s="1"/>
  <c r="N15" i="7"/>
  <c r="N15" i="8" s="1"/>
  <c r="N15" i="9" s="1"/>
  <c r="N15" i="10" s="1"/>
  <c r="M15" i="7"/>
  <c r="M15" i="8" s="1"/>
  <c r="M15" i="9" s="1"/>
  <c r="M15" i="10" s="1"/>
  <c r="J21" i="7"/>
  <c r="J21" i="8" s="1"/>
  <c r="J21" i="9" s="1"/>
  <c r="J21" i="10" s="1"/>
  <c r="K24" i="7"/>
  <c r="K24" i="8" s="1"/>
  <c r="K24" i="9" s="1"/>
  <c r="K24" i="10" s="1"/>
  <c r="H16" i="7"/>
  <c r="H16" i="8" s="1"/>
  <c r="H16" i="9" s="1"/>
  <c r="H16" i="10" s="1"/>
  <c r="E24" i="7"/>
  <c r="E24" i="8" s="1"/>
  <c r="E24" i="9" s="1"/>
  <c r="E24" i="10" s="1"/>
  <c r="N19" i="7"/>
  <c r="N19" i="8" s="1"/>
  <c r="N19" i="9" s="1"/>
  <c r="N19" i="10" s="1"/>
  <c r="K21" i="7"/>
  <c r="K21" i="8" s="1"/>
  <c r="K21" i="9" s="1"/>
  <c r="K21" i="10" s="1"/>
  <c r="H19" i="7"/>
  <c r="H19" i="8" s="1"/>
  <c r="H19" i="9" s="1"/>
  <c r="H19" i="10" s="1"/>
  <c r="G15" i="7"/>
  <c r="G15" i="8" s="1"/>
  <c r="G15" i="9" s="1"/>
  <c r="G15" i="10" s="1"/>
  <c r="J24" i="7"/>
  <c r="J24" i="8" s="1"/>
  <c r="J24" i="9" s="1"/>
  <c r="J24" i="10" s="1"/>
  <c r="P21" i="7"/>
  <c r="P21" i="8" s="1"/>
  <c r="P21" i="9" s="1"/>
  <c r="P21" i="10" s="1"/>
  <c r="K15" i="7"/>
  <c r="K15" i="8" s="1"/>
  <c r="K15" i="9" s="1"/>
  <c r="K15" i="10" s="1"/>
  <c r="G21" i="7"/>
  <c r="G21" i="8" s="1"/>
  <c r="G21" i="9" s="1"/>
  <c r="G21" i="10" s="1"/>
  <c r="G20" i="7"/>
  <c r="G20" i="8" s="1"/>
  <c r="G20" i="9" s="1"/>
  <c r="G20" i="10" s="1"/>
  <c r="M19" i="7"/>
  <c r="M19" i="8" s="1"/>
  <c r="M19" i="9" s="1"/>
  <c r="M19" i="10" s="1"/>
  <c r="G19" i="7"/>
  <c r="G19" i="8" s="1"/>
  <c r="G19" i="9" s="1"/>
  <c r="G19" i="10" s="1"/>
  <c r="H21" i="7"/>
  <c r="H21" i="8" s="1"/>
  <c r="H21" i="9" s="1"/>
  <c r="H21" i="10" s="1"/>
  <c r="J15" i="7"/>
  <c r="J15" i="8" s="1"/>
  <c r="J15" i="9" s="1"/>
  <c r="J15" i="10" s="1"/>
  <c r="F24" i="7"/>
  <c r="F24" i="8" s="1"/>
  <c r="F24" i="9" s="1"/>
  <c r="F24" i="10" s="1"/>
  <c r="F21" i="7"/>
  <c r="F21" i="8" s="1"/>
  <c r="F21" i="9" s="1"/>
  <c r="F21" i="10" s="1"/>
  <c r="F15" i="7"/>
  <c r="F15" i="8" s="1"/>
  <c r="F15" i="9" s="1"/>
  <c r="F15" i="10" s="1"/>
  <c r="F19" i="7"/>
  <c r="F19" i="8" s="1"/>
  <c r="F19" i="9" s="1"/>
  <c r="F19" i="10" s="1"/>
  <c r="F20" i="7"/>
  <c r="F20" i="8" s="1"/>
  <c r="F20" i="9" s="1"/>
  <c r="F20" i="10" s="1"/>
  <c r="I15" i="7"/>
  <c r="I15" i="8" s="1"/>
  <c r="I15" i="9" s="1"/>
  <c r="I15" i="10" s="1"/>
  <c r="I24" i="7"/>
  <c r="I24" i="8" s="1"/>
  <c r="I24" i="9" s="1"/>
  <c r="I24" i="10" s="1"/>
  <c r="L19" i="7"/>
  <c r="L19" i="8" s="1"/>
  <c r="L19" i="9" s="1"/>
  <c r="L19" i="10" s="1"/>
  <c r="O15" i="7"/>
  <c r="O15" i="8" s="1"/>
  <c r="O15" i="9" s="1"/>
  <c r="O15" i="10" s="1"/>
  <c r="O19" i="7"/>
  <c r="O19" i="8" s="1"/>
  <c r="O19" i="9" s="1"/>
  <c r="O19" i="10" s="1"/>
  <c r="L20" i="7"/>
  <c r="L20" i="8" s="1"/>
  <c r="L20" i="9" s="1"/>
  <c r="L20" i="10" s="1"/>
  <c r="L21" i="7"/>
  <c r="L21" i="8" s="1"/>
  <c r="L21" i="9" s="1"/>
  <c r="L21" i="10" s="1"/>
  <c r="I21" i="7"/>
  <c r="I21" i="8" s="1"/>
  <c r="I21" i="9" s="1"/>
  <c r="I21" i="10" s="1"/>
  <c r="O24" i="7"/>
  <c r="O24" i="8" s="1"/>
  <c r="O24" i="9" s="1"/>
  <c r="O24" i="10" s="1"/>
  <c r="I20" i="7"/>
  <c r="I20" i="8" s="1"/>
  <c r="I20" i="9" s="1"/>
  <c r="I20" i="10" s="1"/>
  <c r="L24" i="7"/>
  <c r="L24" i="8" s="1"/>
  <c r="L24" i="9" s="1"/>
  <c r="L24" i="10" s="1"/>
  <c r="I19" i="7"/>
  <c r="I19" i="8" s="1"/>
  <c r="I19" i="9" s="1"/>
  <c r="I19" i="10" s="1"/>
  <c r="L15" i="7"/>
  <c r="L15" i="8" s="1"/>
  <c r="L15" i="9" s="1"/>
  <c r="L15" i="10" s="1"/>
  <c r="K113" i="3"/>
  <c r="Y35" i="3" l="1"/>
  <c r="Y61" i="3"/>
  <c r="Y73" i="3"/>
  <c r="Y14" i="3"/>
  <c r="Y26" i="3"/>
  <c r="Y42" i="3"/>
  <c r="Y74" i="3" l="1"/>
  <c r="AA14" i="3"/>
  <c r="AA73" i="3"/>
  <c r="AA42" i="3"/>
  <c r="AA61" i="3"/>
  <c r="AA48" i="3"/>
  <c r="AA35" i="3"/>
  <c r="AA67" i="3"/>
  <c r="AA54" i="3"/>
  <c r="AC26" i="3"/>
  <c r="AA74" i="3" l="1"/>
  <c r="AE67" i="3"/>
  <c r="AC67" i="3"/>
  <c r="AE61" i="3"/>
  <c r="AC61" i="3"/>
  <c r="AE35" i="3"/>
  <c r="AC35" i="3"/>
  <c r="AE42" i="3"/>
  <c r="AC42" i="3"/>
  <c r="AC14" i="3"/>
  <c r="AE48" i="3"/>
  <c r="AC48" i="3"/>
  <c r="AE73" i="3"/>
  <c r="AC73" i="3"/>
  <c r="AE54" i="3"/>
  <c r="AC54" i="3"/>
  <c r="AE26" i="3"/>
  <c r="AC74" i="3" l="1"/>
  <c r="AE14" i="3"/>
  <c r="AE74" i="3" l="1"/>
  <c r="H23" i="2"/>
  <c r="J23" i="2" s="1"/>
  <c r="L23" i="2" s="1"/>
  <c r="N23" i="2" s="1"/>
  <c r="F22" i="1" l="1"/>
  <c r="G22" i="1"/>
  <c r="H22" i="1"/>
  <c r="M22" i="1"/>
  <c r="N22" i="1"/>
  <c r="E22" i="1"/>
  <c r="A3" i="11"/>
  <c r="A3" i="10"/>
  <c r="A3" i="9"/>
  <c r="A3" i="8"/>
  <c r="A3" i="7"/>
  <c r="A3" i="6"/>
  <c r="J22" i="2" l="1"/>
  <c r="L22" i="2" s="1"/>
  <c r="N22" i="2" s="1"/>
  <c r="E112" i="17" l="1"/>
  <c r="A1" i="11"/>
  <c r="F25" i="1"/>
  <c r="G25" i="1"/>
  <c r="H25" i="1"/>
  <c r="J25" i="1"/>
  <c r="K25" i="1"/>
  <c r="M25" i="1"/>
  <c r="N25" i="1"/>
  <c r="P25" i="1"/>
  <c r="E25" i="1"/>
  <c r="G17" i="1"/>
  <c r="H17" i="1"/>
  <c r="N17" i="1"/>
  <c r="E17" i="1"/>
  <c r="U25" i="1" l="1"/>
  <c r="E17" i="11" s="1"/>
  <c r="Z318" i="4"/>
  <c r="U112" i="1"/>
  <c r="AO112" i="17"/>
  <c r="E147" i="5"/>
  <c r="F147" i="5"/>
  <c r="G147" i="5"/>
  <c r="H147" i="5"/>
  <c r="I147" i="5"/>
  <c r="J147" i="5"/>
  <c r="K147" i="5"/>
  <c r="L147" i="5"/>
  <c r="M147" i="5"/>
  <c r="N147" i="5"/>
  <c r="O147" i="5"/>
  <c r="P147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F146" i="5"/>
  <c r="G146" i="5"/>
  <c r="H146" i="5"/>
  <c r="I146" i="5"/>
  <c r="J146" i="5"/>
  <c r="K146" i="5"/>
  <c r="L146" i="5"/>
  <c r="M146" i="5"/>
  <c r="N146" i="5"/>
  <c r="O146" i="5"/>
  <c r="P146" i="5"/>
  <c r="E146" i="5"/>
  <c r="E160" i="5" l="1"/>
  <c r="G17" i="11"/>
  <c r="J160" i="5"/>
  <c r="L160" i="5"/>
  <c r="P160" i="5"/>
  <c r="H160" i="5"/>
  <c r="I160" i="5"/>
  <c r="K160" i="5"/>
  <c r="O160" i="5"/>
  <c r="N160" i="5"/>
  <c r="F160" i="5"/>
  <c r="G160" i="5"/>
  <c r="M160" i="5"/>
  <c r="R24" i="2"/>
  <c r="S24" i="2"/>
  <c r="T24" i="2"/>
  <c r="U24" i="2"/>
  <c r="V24" i="2"/>
  <c r="W24" i="2"/>
  <c r="X24" i="2"/>
  <c r="Y24" i="2"/>
  <c r="Z24" i="2"/>
  <c r="AA24" i="2"/>
  <c r="AB24" i="2"/>
  <c r="F295" i="4" l="1"/>
  <c r="F242" i="4"/>
  <c r="F244" i="4"/>
  <c r="F255" i="4"/>
  <c r="F196" i="4"/>
  <c r="F197" i="4"/>
  <c r="F256" i="4"/>
  <c r="F243" i="4"/>
  <c r="G9" i="16"/>
  <c r="G41" i="16" s="1"/>
  <c r="Q160" i="5"/>
  <c r="T256" i="4" l="1"/>
  <c r="U256" i="4"/>
  <c r="U261" i="4" s="1"/>
  <c r="O100" i="1" s="1"/>
  <c r="H256" i="4"/>
  <c r="O255" i="4"/>
  <c r="O261" i="4" s="1"/>
  <c r="I100" i="1" s="1"/>
  <c r="H255" i="4"/>
  <c r="H261" i="4" s="1"/>
  <c r="Z261" i="4" s="1"/>
  <c r="N255" i="4"/>
  <c r="U243" i="4"/>
  <c r="U252" i="4" s="1"/>
  <c r="O99" i="1" s="1"/>
  <c r="O103" i="1" s="1"/>
  <c r="T243" i="4"/>
  <c r="N196" i="4"/>
  <c r="O196" i="4"/>
  <c r="O204" i="4" s="1"/>
  <c r="I92" i="1" s="1"/>
  <c r="I94" i="1" s="1"/>
  <c r="N242" i="4"/>
  <c r="O242" i="4"/>
  <c r="O252" i="4" s="1"/>
  <c r="I99" i="1" s="1"/>
  <c r="I103" i="1" s="1"/>
  <c r="T197" i="4"/>
  <c r="T204" i="4" s="1"/>
  <c r="N92" i="1" s="1"/>
  <c r="N94" i="1" s="1"/>
  <c r="S197" i="4"/>
  <c r="H244" i="4"/>
  <c r="N244" i="4"/>
  <c r="W244" i="4" s="1"/>
  <c r="H9" i="16"/>
  <c r="I42" i="11"/>
  <c r="J42" i="11"/>
  <c r="F36" i="11"/>
  <c r="H196" i="4" l="1"/>
  <c r="N204" i="4"/>
  <c r="H92" i="1" s="1"/>
  <c r="W196" i="4"/>
  <c r="H197" i="4"/>
  <c r="W197" i="4"/>
  <c r="S204" i="4"/>
  <c r="M92" i="1" s="1"/>
  <c r="M94" i="1" s="1"/>
  <c r="W242" i="4"/>
  <c r="H242" i="4"/>
  <c r="N252" i="4"/>
  <c r="H99" i="1" s="1"/>
  <c r="H243" i="4"/>
  <c r="W243" i="4"/>
  <c r="T252" i="4"/>
  <c r="N99" i="1" s="1"/>
  <c r="W255" i="4"/>
  <c r="N261" i="4"/>
  <c r="H100" i="1" s="1"/>
  <c r="U100" i="1" s="1"/>
  <c r="W256" i="4"/>
  <c r="S136" i="10"/>
  <c r="M146" i="6" s="1"/>
  <c r="S135" i="10"/>
  <c r="M145" i="6" s="1"/>
  <c r="S133" i="10"/>
  <c r="M143" i="6" s="1"/>
  <c r="S132" i="10"/>
  <c r="M142" i="6" s="1"/>
  <c r="S130" i="10"/>
  <c r="M140" i="6" s="1"/>
  <c r="S129" i="10"/>
  <c r="M139" i="6" s="1"/>
  <c r="S127" i="10"/>
  <c r="M137" i="6" s="1"/>
  <c r="S126" i="10"/>
  <c r="M136" i="6" s="1"/>
  <c r="S125" i="10"/>
  <c r="M135" i="6" s="1"/>
  <c r="S124" i="10"/>
  <c r="M134" i="6" s="1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A1" i="10"/>
  <c r="S136" i="9"/>
  <c r="K146" i="6" s="1"/>
  <c r="S135" i="9"/>
  <c r="K145" i="6" s="1"/>
  <c r="S133" i="9"/>
  <c r="K143" i="6" s="1"/>
  <c r="S132" i="9"/>
  <c r="K142" i="6" s="1"/>
  <c r="S130" i="9"/>
  <c r="K140" i="6" s="1"/>
  <c r="S129" i="9"/>
  <c r="K139" i="6" s="1"/>
  <c r="S127" i="9"/>
  <c r="K137" i="6" s="1"/>
  <c r="S126" i="9"/>
  <c r="K136" i="6" s="1"/>
  <c r="S125" i="9"/>
  <c r="K135" i="6" s="1"/>
  <c r="S124" i="9"/>
  <c r="K134" i="6" s="1"/>
  <c r="F4" i="9"/>
  <c r="G4" i="9" s="1"/>
  <c r="H4" i="9" s="1"/>
  <c r="I4" i="9" s="1"/>
  <c r="J4" i="9" s="1"/>
  <c r="K4" i="9" s="1"/>
  <c r="L4" i="9" s="1"/>
  <c r="M4" i="9" s="1"/>
  <c r="N4" i="9" s="1"/>
  <c r="O4" i="9" s="1"/>
  <c r="P4" i="9" s="1"/>
  <c r="A1" i="9"/>
  <c r="H252" i="4" l="1"/>
  <c r="W252" i="4"/>
  <c r="W204" i="4"/>
  <c r="H94" i="1"/>
  <c r="U92" i="1"/>
  <c r="H103" i="1"/>
  <c r="U99" i="1"/>
  <c r="S99" i="1"/>
  <c r="H204" i="4"/>
  <c r="S136" i="8"/>
  <c r="I146" i="6" s="1"/>
  <c r="S135" i="8"/>
  <c r="I145" i="6" s="1"/>
  <c r="S133" i="8"/>
  <c r="I143" i="6" s="1"/>
  <c r="S132" i="8"/>
  <c r="I142" i="6" s="1"/>
  <c r="S130" i="8"/>
  <c r="I140" i="6" s="1"/>
  <c r="S129" i="8"/>
  <c r="I139" i="6" s="1"/>
  <c r="S127" i="8"/>
  <c r="I137" i="6" s="1"/>
  <c r="S126" i="8"/>
  <c r="I136" i="6" s="1"/>
  <c r="S125" i="8"/>
  <c r="I135" i="6" s="1"/>
  <c r="S124" i="8"/>
  <c r="I134" i="6" s="1"/>
  <c r="F4" i="8"/>
  <c r="G4" i="8" s="1"/>
  <c r="H4" i="8" s="1"/>
  <c r="I4" i="8" s="1"/>
  <c r="J4" i="8" s="1"/>
  <c r="K4" i="8" s="1"/>
  <c r="L4" i="8" s="1"/>
  <c r="M4" i="8" s="1"/>
  <c r="N4" i="8" s="1"/>
  <c r="O4" i="8" s="1"/>
  <c r="P4" i="8" s="1"/>
  <c r="A1" i="8"/>
  <c r="X204" i="4" l="1"/>
  <c r="Z204" i="4"/>
  <c r="X252" i="4"/>
  <c r="S136" i="7"/>
  <c r="G146" i="6" s="1"/>
  <c r="S135" i="7"/>
  <c r="G145" i="6" s="1"/>
  <c r="S133" i="7"/>
  <c r="G143" i="6" s="1"/>
  <c r="S132" i="7"/>
  <c r="G142" i="6" s="1"/>
  <c r="S130" i="7"/>
  <c r="G140" i="6" s="1"/>
  <c r="S129" i="7"/>
  <c r="G139" i="6" s="1"/>
  <c r="S127" i="7"/>
  <c r="G137" i="6" s="1"/>
  <c r="S126" i="7"/>
  <c r="G136" i="6" s="1"/>
  <c r="S125" i="7"/>
  <c r="G135" i="6" s="1"/>
  <c r="S124" i="7"/>
  <c r="G134" i="6" s="1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A1" i="7"/>
  <c r="M9" i="6"/>
  <c r="K9" i="6"/>
  <c r="I9" i="6"/>
  <c r="G9" i="6"/>
  <c r="G7" i="6"/>
  <c r="E7" i="6"/>
  <c r="S136" i="1"/>
  <c r="S135" i="1"/>
  <c r="S133" i="1"/>
  <c r="S132" i="1"/>
  <c r="S130" i="1"/>
  <c r="S129" i="1"/>
  <c r="S127" i="1"/>
  <c r="S126" i="1"/>
  <c r="S125" i="1"/>
  <c r="S124" i="1"/>
  <c r="G108" i="7" l="1"/>
  <c r="H108" i="7"/>
  <c r="E35" i="7"/>
  <c r="E35" i="8" s="1"/>
  <c r="E35" i="9" s="1"/>
  <c r="E35" i="10" s="1"/>
  <c r="F35" i="7"/>
  <c r="F35" i="8" s="1"/>
  <c r="F35" i="9" s="1"/>
  <c r="F35" i="10" s="1"/>
  <c r="L35" i="7"/>
  <c r="L35" i="8" s="1"/>
  <c r="L35" i="9" s="1"/>
  <c r="L35" i="10" s="1"/>
  <c r="O35" i="7"/>
  <c r="O35" i="8" s="1"/>
  <c r="O35" i="9" s="1"/>
  <c r="O35" i="10" s="1"/>
  <c r="G35" i="7"/>
  <c r="G35" i="8" s="1"/>
  <c r="G35" i="9" s="1"/>
  <c r="G35" i="10" s="1"/>
  <c r="H35" i="7"/>
  <c r="H35" i="8" s="1"/>
  <c r="H35" i="9" s="1"/>
  <c r="H35" i="10" s="1"/>
  <c r="N35" i="7"/>
  <c r="N35" i="8" s="1"/>
  <c r="N35" i="9" s="1"/>
  <c r="N35" i="10" s="1"/>
  <c r="P35" i="7"/>
  <c r="P35" i="8" s="1"/>
  <c r="P35" i="9" s="1"/>
  <c r="P35" i="10" s="1"/>
  <c r="J35" i="7"/>
  <c r="J35" i="8" s="1"/>
  <c r="J35" i="9" s="1"/>
  <c r="J35" i="10" s="1"/>
  <c r="I35" i="7"/>
  <c r="I35" i="8" s="1"/>
  <c r="I35" i="9" s="1"/>
  <c r="I35" i="10" s="1"/>
  <c r="K35" i="7"/>
  <c r="K35" i="8" s="1"/>
  <c r="K35" i="9" s="1"/>
  <c r="K35" i="10" s="1"/>
  <c r="M35" i="7"/>
  <c r="M35" i="8" s="1"/>
  <c r="M35" i="9" s="1"/>
  <c r="M35" i="10" s="1"/>
  <c r="I68" i="7"/>
  <c r="I68" i="8" s="1"/>
  <c r="I68" i="9" s="1"/>
  <c r="I68" i="10" s="1"/>
  <c r="N68" i="7"/>
  <c r="N68" i="8" s="1"/>
  <c r="N68" i="9" s="1"/>
  <c r="N68" i="10" s="1"/>
  <c r="H68" i="7"/>
  <c r="H68" i="8" s="1"/>
  <c r="H68" i="9" s="1"/>
  <c r="H68" i="10" s="1"/>
  <c r="E68" i="7"/>
  <c r="E68" i="8" s="1"/>
  <c r="E68" i="9" s="1"/>
  <c r="E68" i="10" s="1"/>
  <c r="G68" i="7"/>
  <c r="G68" i="8" s="1"/>
  <c r="G68" i="9" s="1"/>
  <c r="G68" i="10" s="1"/>
  <c r="J68" i="7"/>
  <c r="J68" i="8" s="1"/>
  <c r="J68" i="9" s="1"/>
  <c r="J68" i="10" s="1"/>
  <c r="P68" i="7"/>
  <c r="P68" i="8" s="1"/>
  <c r="P68" i="9" s="1"/>
  <c r="P68" i="10" s="1"/>
  <c r="L68" i="7"/>
  <c r="L68" i="8" s="1"/>
  <c r="L68" i="9" s="1"/>
  <c r="L68" i="10" s="1"/>
  <c r="M68" i="7"/>
  <c r="M68" i="8" s="1"/>
  <c r="M68" i="9" s="1"/>
  <c r="M68" i="10" s="1"/>
  <c r="K68" i="7"/>
  <c r="K68" i="8" s="1"/>
  <c r="K68" i="9" s="1"/>
  <c r="K68" i="10" s="1"/>
  <c r="F68" i="7"/>
  <c r="F68" i="8" s="1"/>
  <c r="F68" i="9" s="1"/>
  <c r="F68" i="10" s="1"/>
  <c r="O68" i="7"/>
  <c r="O68" i="8" s="1"/>
  <c r="O68" i="9" s="1"/>
  <c r="O68" i="10" s="1"/>
  <c r="M49" i="7"/>
  <c r="M49" i="8" s="1"/>
  <c r="M49" i="9" s="1"/>
  <c r="M49" i="10" s="1"/>
  <c r="L49" i="7"/>
  <c r="L49" i="8" s="1"/>
  <c r="L49" i="9" s="1"/>
  <c r="L49" i="10" s="1"/>
  <c r="J49" i="7"/>
  <c r="J49" i="8" s="1"/>
  <c r="J49" i="9" s="1"/>
  <c r="J49" i="10" s="1"/>
  <c r="I49" i="7"/>
  <c r="I49" i="8" s="1"/>
  <c r="I49" i="9" s="1"/>
  <c r="I49" i="10" s="1"/>
  <c r="H49" i="7"/>
  <c r="H49" i="8" s="1"/>
  <c r="H49" i="9" s="1"/>
  <c r="H49" i="10" s="1"/>
  <c r="G49" i="7"/>
  <c r="G49" i="8" s="1"/>
  <c r="G49" i="9" s="1"/>
  <c r="G49" i="10" s="1"/>
  <c r="E49" i="7"/>
  <c r="E49" i="8" s="1"/>
  <c r="E49" i="9" s="1"/>
  <c r="E49" i="10" s="1"/>
  <c r="P49" i="7"/>
  <c r="P49" i="8" s="1"/>
  <c r="P49" i="9" s="1"/>
  <c r="P49" i="10" s="1"/>
  <c r="F49" i="7"/>
  <c r="F49" i="8" s="1"/>
  <c r="F49" i="9" s="1"/>
  <c r="F49" i="10" s="1"/>
  <c r="O49" i="7"/>
  <c r="O49" i="8" s="1"/>
  <c r="O49" i="9" s="1"/>
  <c r="O49" i="10" s="1"/>
  <c r="N49" i="7"/>
  <c r="N49" i="8" s="1"/>
  <c r="N49" i="9" s="1"/>
  <c r="N49" i="10" s="1"/>
  <c r="K49" i="7"/>
  <c r="K49" i="8" s="1"/>
  <c r="K49" i="9" s="1"/>
  <c r="K49" i="10" s="1"/>
  <c r="K53" i="7"/>
  <c r="K53" i="8" s="1"/>
  <c r="K53" i="9" s="1"/>
  <c r="K53" i="10" s="1"/>
  <c r="F31" i="7"/>
  <c r="F31" i="8" s="1"/>
  <c r="F31" i="9" s="1"/>
  <c r="F31" i="10" s="1"/>
  <c r="P36" i="7"/>
  <c r="P36" i="8" s="1"/>
  <c r="P36" i="9" s="1"/>
  <c r="P36" i="10" s="1"/>
  <c r="G31" i="7"/>
  <c r="G31" i="8" s="1"/>
  <c r="G31" i="9" s="1"/>
  <c r="G31" i="10" s="1"/>
  <c r="M34" i="7"/>
  <c r="M34" i="8" s="1"/>
  <c r="M34" i="9" s="1"/>
  <c r="M34" i="10" s="1"/>
  <c r="J37" i="7"/>
  <c r="J37" i="8" s="1"/>
  <c r="J37" i="9" s="1"/>
  <c r="J37" i="10" s="1"/>
  <c r="F36" i="7"/>
  <c r="F36" i="8" s="1"/>
  <c r="F36" i="9" s="1"/>
  <c r="F36" i="10" s="1"/>
  <c r="K31" i="7"/>
  <c r="K31" i="8" s="1"/>
  <c r="K31" i="9" s="1"/>
  <c r="K31" i="10" s="1"/>
  <c r="M31" i="7"/>
  <c r="M31" i="8" s="1"/>
  <c r="M31" i="9" s="1"/>
  <c r="M31" i="10" s="1"/>
  <c r="L39" i="7"/>
  <c r="L39" i="8" s="1"/>
  <c r="L39" i="9" s="1"/>
  <c r="L39" i="10" s="1"/>
  <c r="N47" i="7"/>
  <c r="N47" i="8" s="1"/>
  <c r="N47" i="9" s="1"/>
  <c r="N47" i="10" s="1"/>
  <c r="J53" i="7"/>
  <c r="J53" i="8" s="1"/>
  <c r="J53" i="9" s="1"/>
  <c r="J53" i="10" s="1"/>
  <c r="K55" i="7"/>
  <c r="K55" i="8" s="1"/>
  <c r="K55" i="9" s="1"/>
  <c r="K55" i="10" s="1"/>
  <c r="L38" i="7"/>
  <c r="L38" i="8" s="1"/>
  <c r="L38" i="9" s="1"/>
  <c r="L38" i="10" s="1"/>
  <c r="M38" i="7"/>
  <c r="M38" i="8" s="1"/>
  <c r="M38" i="9" s="1"/>
  <c r="M38" i="10" s="1"/>
  <c r="J31" i="7"/>
  <c r="J31" i="8" s="1"/>
  <c r="J31" i="9" s="1"/>
  <c r="J31" i="10" s="1"/>
  <c r="G40" i="7"/>
  <c r="G40" i="8" s="1"/>
  <c r="G40" i="9" s="1"/>
  <c r="G40" i="10" s="1"/>
  <c r="J34" i="7"/>
  <c r="J34" i="8" s="1"/>
  <c r="J34" i="9" s="1"/>
  <c r="J34" i="10" s="1"/>
  <c r="M40" i="7"/>
  <c r="M40" i="8" s="1"/>
  <c r="M40" i="9" s="1"/>
  <c r="M40" i="10" s="1"/>
  <c r="L47" i="7"/>
  <c r="L47" i="8" s="1"/>
  <c r="L47" i="9" s="1"/>
  <c r="L47" i="10" s="1"/>
  <c r="I53" i="7"/>
  <c r="I53" i="8" s="1"/>
  <c r="I53" i="9" s="1"/>
  <c r="I53" i="10" s="1"/>
  <c r="N55" i="7"/>
  <c r="N55" i="8" s="1"/>
  <c r="N55" i="9" s="1"/>
  <c r="N55" i="10" s="1"/>
  <c r="I55" i="7"/>
  <c r="I55" i="8" s="1"/>
  <c r="I55" i="9" s="1"/>
  <c r="I55" i="10" s="1"/>
  <c r="F47" i="7"/>
  <c r="F47" i="8" s="1"/>
  <c r="F47" i="9" s="1"/>
  <c r="F47" i="10" s="1"/>
  <c r="H55" i="7"/>
  <c r="H55" i="8" s="1"/>
  <c r="H55" i="9" s="1"/>
  <c r="H55" i="10" s="1"/>
  <c r="F39" i="7"/>
  <c r="F39" i="8" s="1"/>
  <c r="F39" i="9" s="1"/>
  <c r="F39" i="10" s="1"/>
  <c r="G38" i="7"/>
  <c r="G38" i="8" s="1"/>
  <c r="G38" i="9" s="1"/>
  <c r="G38" i="10" s="1"/>
  <c r="L54" i="7"/>
  <c r="L54" i="8" s="1"/>
  <c r="L54" i="9" s="1"/>
  <c r="L54" i="10" s="1"/>
  <c r="K54" i="7"/>
  <c r="K54" i="8" s="1"/>
  <c r="K54" i="9" s="1"/>
  <c r="K54" i="10" s="1"/>
  <c r="G32" i="7"/>
  <c r="G32" i="8" s="1"/>
  <c r="G32" i="9" s="1"/>
  <c r="G32" i="10" s="1"/>
  <c r="E31" i="7"/>
  <c r="E31" i="8" s="1"/>
  <c r="E31" i="9" s="1"/>
  <c r="E31" i="10" s="1"/>
  <c r="N33" i="7"/>
  <c r="N33" i="8" s="1"/>
  <c r="N33" i="9" s="1"/>
  <c r="N33" i="10" s="1"/>
  <c r="O32" i="7"/>
  <c r="O32" i="8" s="1"/>
  <c r="O32" i="9" s="1"/>
  <c r="O32" i="10" s="1"/>
  <c r="E34" i="7"/>
  <c r="E34" i="8" s="1"/>
  <c r="E34" i="9" s="1"/>
  <c r="E34" i="10" s="1"/>
  <c r="F38" i="7"/>
  <c r="F38" i="8" s="1"/>
  <c r="F38" i="9" s="1"/>
  <c r="F38" i="10" s="1"/>
  <c r="K47" i="7"/>
  <c r="K47" i="8" s="1"/>
  <c r="K47" i="9" s="1"/>
  <c r="K47" i="10" s="1"/>
  <c r="H53" i="7"/>
  <c r="H53" i="8" s="1"/>
  <c r="H53" i="9" s="1"/>
  <c r="H53" i="10" s="1"/>
  <c r="O54" i="7"/>
  <c r="O54" i="8" s="1"/>
  <c r="O54" i="9" s="1"/>
  <c r="O54" i="10" s="1"/>
  <c r="J55" i="7"/>
  <c r="J55" i="8" s="1"/>
  <c r="J55" i="9" s="1"/>
  <c r="J55" i="10" s="1"/>
  <c r="L37" i="7"/>
  <c r="L37" i="8" s="1"/>
  <c r="L37" i="9" s="1"/>
  <c r="L37" i="10" s="1"/>
  <c r="K32" i="7"/>
  <c r="K32" i="8" s="1"/>
  <c r="K32" i="9" s="1"/>
  <c r="K32" i="10" s="1"/>
  <c r="P38" i="7"/>
  <c r="P38" i="8" s="1"/>
  <c r="P38" i="9" s="1"/>
  <c r="P38" i="10" s="1"/>
  <c r="E36" i="7"/>
  <c r="E36" i="8" s="1"/>
  <c r="E36" i="9" s="1"/>
  <c r="E36" i="10" s="1"/>
  <c r="F37" i="7"/>
  <c r="F37" i="8" s="1"/>
  <c r="F37" i="9" s="1"/>
  <c r="F37" i="10" s="1"/>
  <c r="M32" i="7"/>
  <c r="M32" i="8" s="1"/>
  <c r="M32" i="9" s="1"/>
  <c r="M32" i="10" s="1"/>
  <c r="J47" i="7"/>
  <c r="J47" i="8" s="1"/>
  <c r="J47" i="9" s="1"/>
  <c r="J47" i="10" s="1"/>
  <c r="E53" i="7"/>
  <c r="E53" i="8" s="1"/>
  <c r="E53" i="9" s="1"/>
  <c r="E53" i="10" s="1"/>
  <c r="N54" i="7"/>
  <c r="N54" i="8" s="1"/>
  <c r="N54" i="9" s="1"/>
  <c r="N54" i="10" s="1"/>
  <c r="F53" i="7"/>
  <c r="F53" i="8" s="1"/>
  <c r="F53" i="9" s="1"/>
  <c r="F53" i="10" s="1"/>
  <c r="N37" i="7"/>
  <c r="N37" i="8" s="1"/>
  <c r="N37" i="9" s="1"/>
  <c r="N37" i="10" s="1"/>
  <c r="P47" i="7"/>
  <c r="P47" i="8" s="1"/>
  <c r="P47" i="9" s="1"/>
  <c r="P47" i="10" s="1"/>
  <c r="G55" i="7"/>
  <c r="G55" i="8" s="1"/>
  <c r="G55" i="9" s="1"/>
  <c r="G55" i="10" s="1"/>
  <c r="J40" i="7"/>
  <c r="J40" i="8" s="1"/>
  <c r="J40" i="9" s="1"/>
  <c r="J40" i="10" s="1"/>
  <c r="M47" i="7"/>
  <c r="M47" i="8" s="1"/>
  <c r="M47" i="9" s="1"/>
  <c r="M47" i="10" s="1"/>
  <c r="E39" i="7"/>
  <c r="E39" i="8" s="1"/>
  <c r="E39" i="9" s="1"/>
  <c r="E39" i="10" s="1"/>
  <c r="N34" i="7"/>
  <c r="N34" i="8" s="1"/>
  <c r="N34" i="9" s="1"/>
  <c r="N34" i="10" s="1"/>
  <c r="O31" i="7"/>
  <c r="O31" i="8" s="1"/>
  <c r="O31" i="9" s="1"/>
  <c r="O31" i="10" s="1"/>
  <c r="G39" i="7"/>
  <c r="G39" i="8" s="1"/>
  <c r="G39" i="9" s="1"/>
  <c r="G39" i="10" s="1"/>
  <c r="M39" i="7"/>
  <c r="M39" i="8" s="1"/>
  <c r="M39" i="9" s="1"/>
  <c r="M39" i="10" s="1"/>
  <c r="F32" i="7"/>
  <c r="F32" i="8" s="1"/>
  <c r="F32" i="9" s="1"/>
  <c r="F32" i="10" s="1"/>
  <c r="H47" i="7"/>
  <c r="H47" i="8" s="1"/>
  <c r="H47" i="9" s="1"/>
  <c r="H47" i="10" s="1"/>
  <c r="G53" i="7"/>
  <c r="G53" i="8" s="1"/>
  <c r="G53" i="9" s="1"/>
  <c r="G53" i="10" s="1"/>
  <c r="M54" i="7"/>
  <c r="M54" i="8" s="1"/>
  <c r="M54" i="9" s="1"/>
  <c r="M54" i="10" s="1"/>
  <c r="P55" i="7"/>
  <c r="P55" i="8" s="1"/>
  <c r="P55" i="9" s="1"/>
  <c r="P55" i="10" s="1"/>
  <c r="H32" i="7"/>
  <c r="H32" i="8" s="1"/>
  <c r="H32" i="9" s="1"/>
  <c r="H32" i="10" s="1"/>
  <c r="I36" i="7"/>
  <c r="I36" i="8" s="1"/>
  <c r="I36" i="9" s="1"/>
  <c r="I36" i="10" s="1"/>
  <c r="H36" i="7"/>
  <c r="H36" i="8" s="1"/>
  <c r="H36" i="9" s="1"/>
  <c r="H36" i="10" s="1"/>
  <c r="F34" i="7"/>
  <c r="F34" i="8" s="1"/>
  <c r="F34" i="9" s="1"/>
  <c r="F34" i="10" s="1"/>
  <c r="L34" i="7"/>
  <c r="L34" i="8" s="1"/>
  <c r="L34" i="9" s="1"/>
  <c r="L34" i="10" s="1"/>
  <c r="E54" i="7"/>
  <c r="E54" i="8" s="1"/>
  <c r="E54" i="9" s="1"/>
  <c r="E54" i="10" s="1"/>
  <c r="G36" i="7"/>
  <c r="G36" i="8" s="1"/>
  <c r="G36" i="9" s="1"/>
  <c r="G36" i="10" s="1"/>
  <c r="G37" i="7"/>
  <c r="G37" i="8" s="1"/>
  <c r="G37" i="9" s="1"/>
  <c r="G37" i="10" s="1"/>
  <c r="F55" i="7"/>
  <c r="F55" i="8" s="1"/>
  <c r="F55" i="9" s="1"/>
  <c r="F55" i="10" s="1"/>
  <c r="K40" i="7"/>
  <c r="K40" i="8" s="1"/>
  <c r="K40" i="9" s="1"/>
  <c r="K40" i="10" s="1"/>
  <c r="P39" i="7"/>
  <c r="P39" i="8" s="1"/>
  <c r="P39" i="9" s="1"/>
  <c r="P39" i="10" s="1"/>
  <c r="N38" i="7"/>
  <c r="N38" i="8" s="1"/>
  <c r="N38" i="9" s="1"/>
  <c r="N38" i="10" s="1"/>
  <c r="H31" i="7"/>
  <c r="H31" i="8" s="1"/>
  <c r="H31" i="9" s="1"/>
  <c r="H31" i="10" s="1"/>
  <c r="E32" i="7"/>
  <c r="E32" i="8" s="1"/>
  <c r="E32" i="9" s="1"/>
  <c r="E32" i="10" s="1"/>
  <c r="H40" i="7"/>
  <c r="H40" i="8" s="1"/>
  <c r="H40" i="9" s="1"/>
  <c r="H40" i="10" s="1"/>
  <c r="L32" i="7"/>
  <c r="L32" i="8" s="1"/>
  <c r="L32" i="9" s="1"/>
  <c r="L32" i="10" s="1"/>
  <c r="L31" i="7"/>
  <c r="L31" i="8" s="1"/>
  <c r="L31" i="9" s="1"/>
  <c r="L31" i="10" s="1"/>
  <c r="H33" i="7"/>
  <c r="H33" i="8" s="1"/>
  <c r="H33" i="9" s="1"/>
  <c r="H33" i="10" s="1"/>
  <c r="N31" i="7"/>
  <c r="N31" i="8" s="1"/>
  <c r="N31" i="9" s="1"/>
  <c r="N31" i="10" s="1"/>
  <c r="I32" i="7"/>
  <c r="I32" i="8" s="1"/>
  <c r="I32" i="9" s="1"/>
  <c r="I32" i="10" s="1"/>
  <c r="I47" i="7"/>
  <c r="I47" i="8" s="1"/>
  <c r="I47" i="9" s="1"/>
  <c r="I47" i="10" s="1"/>
  <c r="J54" i="7"/>
  <c r="J54" i="8" s="1"/>
  <c r="J54" i="9" s="1"/>
  <c r="J54" i="10" s="1"/>
  <c r="E55" i="7"/>
  <c r="E55" i="8" s="1"/>
  <c r="E55" i="9" s="1"/>
  <c r="E55" i="10" s="1"/>
  <c r="O33" i="7"/>
  <c r="O33" i="8" s="1"/>
  <c r="O33" i="9" s="1"/>
  <c r="O33" i="10" s="1"/>
  <c r="H34" i="7"/>
  <c r="H34" i="8" s="1"/>
  <c r="H34" i="9" s="1"/>
  <c r="H34" i="10" s="1"/>
  <c r="O34" i="7"/>
  <c r="O34" i="8" s="1"/>
  <c r="O34" i="9" s="1"/>
  <c r="O34" i="10" s="1"/>
  <c r="I34" i="7"/>
  <c r="I34" i="8" s="1"/>
  <c r="I34" i="9" s="1"/>
  <c r="I34" i="10" s="1"/>
  <c r="J36" i="7"/>
  <c r="J36" i="8" s="1"/>
  <c r="J36" i="9" s="1"/>
  <c r="J36" i="10" s="1"/>
  <c r="I33" i="7"/>
  <c r="I33" i="8" s="1"/>
  <c r="I33" i="9" s="1"/>
  <c r="I33" i="10" s="1"/>
  <c r="K37" i="7"/>
  <c r="K37" i="8" s="1"/>
  <c r="K37" i="9" s="1"/>
  <c r="K37" i="10" s="1"/>
  <c r="G47" i="7"/>
  <c r="G47" i="8" s="1"/>
  <c r="G47" i="9" s="1"/>
  <c r="G47" i="10" s="1"/>
  <c r="I54" i="7"/>
  <c r="I54" i="8" s="1"/>
  <c r="I54" i="9" s="1"/>
  <c r="I54" i="10" s="1"/>
  <c r="O55" i="7"/>
  <c r="O55" i="8" s="1"/>
  <c r="O55" i="9" s="1"/>
  <c r="O55" i="10" s="1"/>
  <c r="E33" i="7"/>
  <c r="E33" i="8" s="1"/>
  <c r="E33" i="9" s="1"/>
  <c r="E33" i="10" s="1"/>
  <c r="M36" i="7"/>
  <c r="M36" i="8" s="1"/>
  <c r="M36" i="9" s="1"/>
  <c r="M36" i="10" s="1"/>
  <c r="K39" i="7"/>
  <c r="K39" i="8" s="1"/>
  <c r="K39" i="9" s="1"/>
  <c r="K39" i="10" s="1"/>
  <c r="E47" i="7"/>
  <c r="E47" i="8" s="1"/>
  <c r="E47" i="9" s="1"/>
  <c r="E47" i="10" s="1"/>
  <c r="M55" i="7"/>
  <c r="M55" i="8" s="1"/>
  <c r="M55" i="9" s="1"/>
  <c r="M55" i="10" s="1"/>
  <c r="N40" i="7"/>
  <c r="N40" i="8" s="1"/>
  <c r="N40" i="9" s="1"/>
  <c r="N40" i="10" s="1"/>
  <c r="F40" i="7"/>
  <c r="F40" i="8" s="1"/>
  <c r="F40" i="9" s="1"/>
  <c r="F40" i="10" s="1"/>
  <c r="O37" i="7"/>
  <c r="O37" i="8" s="1"/>
  <c r="O37" i="9" s="1"/>
  <c r="O37" i="10" s="1"/>
  <c r="K33" i="7"/>
  <c r="K33" i="8" s="1"/>
  <c r="K33" i="9" s="1"/>
  <c r="K33" i="10" s="1"/>
  <c r="K36" i="7"/>
  <c r="K36" i="8" s="1"/>
  <c r="K36" i="9" s="1"/>
  <c r="K36" i="10" s="1"/>
  <c r="I31" i="7"/>
  <c r="I31" i="8" s="1"/>
  <c r="I31" i="9" s="1"/>
  <c r="I31" i="10" s="1"/>
  <c r="H37" i="7"/>
  <c r="H37" i="8" s="1"/>
  <c r="H37" i="9" s="1"/>
  <c r="H37" i="10" s="1"/>
  <c r="I39" i="7"/>
  <c r="I39" i="8" s="1"/>
  <c r="I39" i="9" s="1"/>
  <c r="I39" i="10" s="1"/>
  <c r="N36" i="7"/>
  <c r="N36" i="8" s="1"/>
  <c r="N36" i="9" s="1"/>
  <c r="N36" i="10" s="1"/>
  <c r="J33" i="7"/>
  <c r="J33" i="8" s="1"/>
  <c r="J33" i="9" s="1"/>
  <c r="J33" i="10" s="1"/>
  <c r="L40" i="7"/>
  <c r="L40" i="8" s="1"/>
  <c r="L40" i="9" s="1"/>
  <c r="L40" i="10" s="1"/>
  <c r="P53" i="7"/>
  <c r="P53" i="8" s="1"/>
  <c r="P53" i="9" s="1"/>
  <c r="P53" i="10" s="1"/>
  <c r="H54" i="7"/>
  <c r="H54" i="8" s="1"/>
  <c r="H54" i="9" s="1"/>
  <c r="H54" i="10" s="1"/>
  <c r="L33" i="7"/>
  <c r="L33" i="8" s="1"/>
  <c r="L33" i="9" s="1"/>
  <c r="L33" i="10" s="1"/>
  <c r="M53" i="7"/>
  <c r="M53" i="8" s="1"/>
  <c r="M53" i="9" s="1"/>
  <c r="M53" i="10" s="1"/>
  <c r="O39" i="7"/>
  <c r="O39" i="8" s="1"/>
  <c r="O39" i="9" s="1"/>
  <c r="O39" i="10" s="1"/>
  <c r="L53" i="7"/>
  <c r="L53" i="8" s="1"/>
  <c r="L53" i="9" s="1"/>
  <c r="L53" i="10" s="1"/>
  <c r="L55" i="7"/>
  <c r="L55" i="8" s="1"/>
  <c r="L55" i="9" s="1"/>
  <c r="L55" i="10" s="1"/>
  <c r="K38" i="7"/>
  <c r="K38" i="8" s="1"/>
  <c r="K38" i="9" s="1"/>
  <c r="K38" i="10" s="1"/>
  <c r="I37" i="7"/>
  <c r="I37" i="8" s="1"/>
  <c r="I37" i="9" s="1"/>
  <c r="I37" i="10" s="1"/>
  <c r="P37" i="7"/>
  <c r="P37" i="8" s="1"/>
  <c r="P37" i="9" s="1"/>
  <c r="P37" i="10" s="1"/>
  <c r="N32" i="7"/>
  <c r="N32" i="8" s="1"/>
  <c r="N32" i="9" s="1"/>
  <c r="N32" i="10" s="1"/>
  <c r="H39" i="7"/>
  <c r="H39" i="8" s="1"/>
  <c r="H39" i="9" s="1"/>
  <c r="H39" i="10" s="1"/>
  <c r="P40" i="7"/>
  <c r="P40" i="8" s="1"/>
  <c r="P40" i="9" s="1"/>
  <c r="P40" i="10" s="1"/>
  <c r="H38" i="7"/>
  <c r="H38" i="8" s="1"/>
  <c r="H38" i="9" s="1"/>
  <c r="H38" i="10" s="1"/>
  <c r="K34" i="7"/>
  <c r="K34" i="8" s="1"/>
  <c r="K34" i="9" s="1"/>
  <c r="K34" i="10" s="1"/>
  <c r="M33" i="7"/>
  <c r="M33" i="8" s="1"/>
  <c r="M33" i="9" s="1"/>
  <c r="M33" i="10" s="1"/>
  <c r="O53" i="7"/>
  <c r="O53" i="8" s="1"/>
  <c r="O53" i="9" s="1"/>
  <c r="O53" i="10" s="1"/>
  <c r="G54" i="7"/>
  <c r="G54" i="8" s="1"/>
  <c r="G54" i="9" s="1"/>
  <c r="G54" i="10" s="1"/>
  <c r="J32" i="7"/>
  <c r="J32" i="8" s="1"/>
  <c r="J32" i="9" s="1"/>
  <c r="J32" i="10" s="1"/>
  <c r="L36" i="7"/>
  <c r="L36" i="8" s="1"/>
  <c r="L36" i="9" s="1"/>
  <c r="L36" i="10" s="1"/>
  <c r="G33" i="7"/>
  <c r="G33" i="8" s="1"/>
  <c r="G33" i="9" s="1"/>
  <c r="G33" i="10" s="1"/>
  <c r="P54" i="7"/>
  <c r="P54" i="8" s="1"/>
  <c r="P54" i="9" s="1"/>
  <c r="P54" i="10" s="1"/>
  <c r="P33" i="7"/>
  <c r="P33" i="8" s="1"/>
  <c r="P33" i="9" s="1"/>
  <c r="P33" i="10" s="1"/>
  <c r="E37" i="7"/>
  <c r="E37" i="8" s="1"/>
  <c r="E37" i="9" s="1"/>
  <c r="E37" i="10" s="1"/>
  <c r="G34" i="7"/>
  <c r="G34" i="8" s="1"/>
  <c r="G34" i="9" s="1"/>
  <c r="G34" i="10" s="1"/>
  <c r="O40" i="7"/>
  <c r="O40" i="8" s="1"/>
  <c r="O40" i="9" s="1"/>
  <c r="O40" i="10" s="1"/>
  <c r="O47" i="7"/>
  <c r="O47" i="8" s="1"/>
  <c r="O47" i="9" s="1"/>
  <c r="O47" i="10" s="1"/>
  <c r="P31" i="7"/>
  <c r="P31" i="8" s="1"/>
  <c r="P31" i="9" s="1"/>
  <c r="P31" i="10" s="1"/>
  <c r="N39" i="7"/>
  <c r="N39" i="8" s="1"/>
  <c r="N39" i="9" s="1"/>
  <c r="N39" i="10" s="1"/>
  <c r="O38" i="7"/>
  <c r="O38" i="8" s="1"/>
  <c r="O38" i="9" s="1"/>
  <c r="O38" i="10" s="1"/>
  <c r="P34" i="7"/>
  <c r="P34" i="8" s="1"/>
  <c r="P34" i="9" s="1"/>
  <c r="P34" i="10" s="1"/>
  <c r="J39" i="7"/>
  <c r="J39" i="8" s="1"/>
  <c r="J39" i="9" s="1"/>
  <c r="J39" i="10" s="1"/>
  <c r="O36" i="7"/>
  <c r="O36" i="8" s="1"/>
  <c r="O36" i="9" s="1"/>
  <c r="O36" i="10" s="1"/>
  <c r="P32" i="7"/>
  <c r="P32" i="8" s="1"/>
  <c r="P32" i="9" s="1"/>
  <c r="P32" i="10" s="1"/>
  <c r="E38" i="7"/>
  <c r="E38" i="8" s="1"/>
  <c r="E38" i="9" s="1"/>
  <c r="E38" i="10" s="1"/>
  <c r="N53" i="7"/>
  <c r="N53" i="8" s="1"/>
  <c r="N53" i="9" s="1"/>
  <c r="N53" i="10" s="1"/>
  <c r="F54" i="7"/>
  <c r="F54" i="8" s="1"/>
  <c r="F54" i="9" s="1"/>
  <c r="F54" i="10" s="1"/>
  <c r="I40" i="7"/>
  <c r="I40" i="8" s="1"/>
  <c r="I40" i="9" s="1"/>
  <c r="I40" i="10" s="1"/>
  <c r="F33" i="7"/>
  <c r="F33" i="8" s="1"/>
  <c r="F33" i="9" s="1"/>
  <c r="F33" i="10" s="1"/>
  <c r="E40" i="7"/>
  <c r="E40" i="8" s="1"/>
  <c r="E40" i="9" s="1"/>
  <c r="E40" i="10" s="1"/>
  <c r="I38" i="7"/>
  <c r="I38" i="8" s="1"/>
  <c r="I38" i="9" s="1"/>
  <c r="I38" i="10" s="1"/>
  <c r="M37" i="7"/>
  <c r="M37" i="8" s="1"/>
  <c r="M37" i="9" s="1"/>
  <c r="M37" i="10" s="1"/>
  <c r="J38" i="7"/>
  <c r="J38" i="8" s="1"/>
  <c r="J38" i="9" s="1"/>
  <c r="J38" i="10" s="1"/>
  <c r="G58" i="7"/>
  <c r="G58" i="8" s="1"/>
  <c r="G58" i="9" s="1"/>
  <c r="G58" i="10" s="1"/>
  <c r="O50" i="7"/>
  <c r="O50" i="8" s="1"/>
  <c r="O50" i="9" s="1"/>
  <c r="O50" i="10" s="1"/>
  <c r="F57" i="7"/>
  <c r="F57" i="8" s="1"/>
  <c r="F57" i="9" s="1"/>
  <c r="F57" i="10" s="1"/>
  <c r="P56" i="7"/>
  <c r="P56" i="8" s="1"/>
  <c r="P56" i="9" s="1"/>
  <c r="P56" i="10" s="1"/>
  <c r="N51" i="7"/>
  <c r="N51" i="8" s="1"/>
  <c r="N51" i="9" s="1"/>
  <c r="N51" i="10" s="1"/>
  <c r="M58" i="7"/>
  <c r="M58" i="8" s="1"/>
  <c r="M58" i="9" s="1"/>
  <c r="M58" i="10" s="1"/>
  <c r="G50" i="7"/>
  <c r="G50" i="8" s="1"/>
  <c r="G50" i="9" s="1"/>
  <c r="G50" i="10" s="1"/>
  <c r="O56" i="7"/>
  <c r="O56" i="8" s="1"/>
  <c r="O56" i="9" s="1"/>
  <c r="O56" i="10" s="1"/>
  <c r="F51" i="7"/>
  <c r="F51" i="8" s="1"/>
  <c r="F51" i="9" s="1"/>
  <c r="F51" i="10" s="1"/>
  <c r="M56" i="7"/>
  <c r="M56" i="8" s="1"/>
  <c r="M56" i="9" s="1"/>
  <c r="M56" i="10" s="1"/>
  <c r="N58" i="7"/>
  <c r="N58" i="8" s="1"/>
  <c r="N58" i="9" s="1"/>
  <c r="N58" i="10" s="1"/>
  <c r="P58" i="7"/>
  <c r="P58" i="8" s="1"/>
  <c r="P58" i="9" s="1"/>
  <c r="P58" i="10" s="1"/>
  <c r="M57" i="7"/>
  <c r="M57" i="8" s="1"/>
  <c r="M57" i="9" s="1"/>
  <c r="M57" i="10" s="1"/>
  <c r="H57" i="7"/>
  <c r="H57" i="8" s="1"/>
  <c r="H57" i="9" s="1"/>
  <c r="H57" i="10" s="1"/>
  <c r="N50" i="7"/>
  <c r="N50" i="8" s="1"/>
  <c r="N50" i="9" s="1"/>
  <c r="N50" i="10" s="1"/>
  <c r="L57" i="7"/>
  <c r="L57" i="8" s="1"/>
  <c r="L57" i="9" s="1"/>
  <c r="L57" i="10" s="1"/>
  <c r="O51" i="7"/>
  <c r="O51" i="8" s="1"/>
  <c r="O51" i="9" s="1"/>
  <c r="O51" i="10" s="1"/>
  <c r="I51" i="7"/>
  <c r="I51" i="8" s="1"/>
  <c r="I51" i="9" s="1"/>
  <c r="I51" i="10" s="1"/>
  <c r="N56" i="7"/>
  <c r="N56" i="8" s="1"/>
  <c r="N56" i="9" s="1"/>
  <c r="N56" i="10" s="1"/>
  <c r="E57" i="7"/>
  <c r="E57" i="8" s="1"/>
  <c r="E57" i="9" s="1"/>
  <c r="E57" i="10" s="1"/>
  <c r="L56" i="7"/>
  <c r="L56" i="8" s="1"/>
  <c r="L56" i="9" s="1"/>
  <c r="L56" i="10" s="1"/>
  <c r="J51" i="7"/>
  <c r="J51" i="8" s="1"/>
  <c r="J51" i="9" s="1"/>
  <c r="J51" i="10" s="1"/>
  <c r="J56" i="7"/>
  <c r="J56" i="8" s="1"/>
  <c r="J56" i="9" s="1"/>
  <c r="J56" i="10" s="1"/>
  <c r="I56" i="7"/>
  <c r="I56" i="8" s="1"/>
  <c r="I56" i="9" s="1"/>
  <c r="I56" i="10" s="1"/>
  <c r="G57" i="7"/>
  <c r="G57" i="8" s="1"/>
  <c r="G57" i="9" s="1"/>
  <c r="G57" i="10" s="1"/>
  <c r="F50" i="7"/>
  <c r="F50" i="8" s="1"/>
  <c r="F50" i="9" s="1"/>
  <c r="F50" i="10" s="1"/>
  <c r="L58" i="7"/>
  <c r="L58" i="8" s="1"/>
  <c r="L58" i="9" s="1"/>
  <c r="L58" i="10" s="1"/>
  <c r="E51" i="7"/>
  <c r="E51" i="8" s="1"/>
  <c r="E51" i="9" s="1"/>
  <c r="E51" i="10" s="1"/>
  <c r="E50" i="7"/>
  <c r="E50" i="8" s="1"/>
  <c r="E50" i="9" s="1"/>
  <c r="E50" i="10" s="1"/>
  <c r="P50" i="7"/>
  <c r="P50" i="8" s="1"/>
  <c r="P50" i="9" s="1"/>
  <c r="P50" i="10" s="1"/>
  <c r="H51" i="7"/>
  <c r="H51" i="8" s="1"/>
  <c r="H51" i="9" s="1"/>
  <c r="H51" i="10" s="1"/>
  <c r="K51" i="7"/>
  <c r="K51" i="8" s="1"/>
  <c r="K51" i="9" s="1"/>
  <c r="K51" i="10" s="1"/>
  <c r="P57" i="7"/>
  <c r="P57" i="8" s="1"/>
  <c r="P57" i="9" s="1"/>
  <c r="P57" i="10" s="1"/>
  <c r="H58" i="7"/>
  <c r="H58" i="8" s="1"/>
  <c r="H58" i="9" s="1"/>
  <c r="H58" i="10" s="1"/>
  <c r="K58" i="7"/>
  <c r="K58" i="8" s="1"/>
  <c r="K58" i="9" s="1"/>
  <c r="K58" i="10" s="1"/>
  <c r="O58" i="7"/>
  <c r="O58" i="8" s="1"/>
  <c r="O58" i="9" s="1"/>
  <c r="O58" i="10" s="1"/>
  <c r="H50" i="7"/>
  <c r="H50" i="8" s="1"/>
  <c r="H50" i="9" s="1"/>
  <c r="H50" i="10" s="1"/>
  <c r="J50" i="7"/>
  <c r="J50" i="8" s="1"/>
  <c r="J50" i="9" s="1"/>
  <c r="J50" i="10" s="1"/>
  <c r="L50" i="7"/>
  <c r="L50" i="8" s="1"/>
  <c r="L50" i="9" s="1"/>
  <c r="L50" i="10" s="1"/>
  <c r="J58" i="7"/>
  <c r="J58" i="8" s="1"/>
  <c r="J58" i="9" s="1"/>
  <c r="J58" i="10" s="1"/>
  <c r="P51" i="7"/>
  <c r="P51" i="8" s="1"/>
  <c r="P51" i="9" s="1"/>
  <c r="P51" i="10" s="1"/>
  <c r="E58" i="7"/>
  <c r="E58" i="8" s="1"/>
  <c r="E58" i="9" s="1"/>
  <c r="E58" i="10" s="1"/>
  <c r="J57" i="7"/>
  <c r="J57" i="8" s="1"/>
  <c r="J57" i="9" s="1"/>
  <c r="J57" i="10" s="1"/>
  <c r="K56" i="7"/>
  <c r="K56" i="8" s="1"/>
  <c r="K56" i="9" s="1"/>
  <c r="K56" i="10" s="1"/>
  <c r="M50" i="7"/>
  <c r="M50" i="8" s="1"/>
  <c r="M50" i="9" s="1"/>
  <c r="M50" i="10" s="1"/>
  <c r="I57" i="7"/>
  <c r="I57" i="8" s="1"/>
  <c r="I57" i="9" s="1"/>
  <c r="I57" i="10" s="1"/>
  <c r="L51" i="7"/>
  <c r="L51" i="8" s="1"/>
  <c r="L51" i="9" s="1"/>
  <c r="L51" i="10" s="1"/>
  <c r="K57" i="7"/>
  <c r="K57" i="8" s="1"/>
  <c r="K57" i="9" s="1"/>
  <c r="K57" i="10" s="1"/>
  <c r="I50" i="7"/>
  <c r="I50" i="8" s="1"/>
  <c r="I50" i="9" s="1"/>
  <c r="I50" i="10" s="1"/>
  <c r="F56" i="7"/>
  <c r="F56" i="8" s="1"/>
  <c r="F56" i="9" s="1"/>
  <c r="F56" i="10" s="1"/>
  <c r="N57" i="7"/>
  <c r="N57" i="8" s="1"/>
  <c r="N57" i="9" s="1"/>
  <c r="N57" i="10" s="1"/>
  <c r="I58" i="7"/>
  <c r="I58" i="8" s="1"/>
  <c r="I58" i="9" s="1"/>
  <c r="I58" i="10" s="1"/>
  <c r="G56" i="7"/>
  <c r="G56" i="8" s="1"/>
  <c r="G56" i="9" s="1"/>
  <c r="G56" i="10" s="1"/>
  <c r="E56" i="7"/>
  <c r="E56" i="8" s="1"/>
  <c r="E56" i="9" s="1"/>
  <c r="E56" i="10" s="1"/>
  <c r="F58" i="7"/>
  <c r="F58" i="8" s="1"/>
  <c r="F58" i="9" s="1"/>
  <c r="F58" i="10" s="1"/>
  <c r="M51" i="7"/>
  <c r="M51" i="8" s="1"/>
  <c r="M51" i="9" s="1"/>
  <c r="M51" i="10" s="1"/>
  <c r="H56" i="7"/>
  <c r="H56" i="8" s="1"/>
  <c r="H56" i="9" s="1"/>
  <c r="H56" i="10" s="1"/>
  <c r="K50" i="7"/>
  <c r="K50" i="8" s="1"/>
  <c r="K50" i="9" s="1"/>
  <c r="K50" i="10" s="1"/>
  <c r="O57" i="7"/>
  <c r="O57" i="8" s="1"/>
  <c r="O57" i="9" s="1"/>
  <c r="O57" i="10" s="1"/>
  <c r="G51" i="7"/>
  <c r="G51" i="8" s="1"/>
  <c r="G51" i="9" s="1"/>
  <c r="G51" i="10" s="1"/>
  <c r="M112" i="7"/>
  <c r="M112" i="8" s="1"/>
  <c r="M112" i="9" s="1"/>
  <c r="M112" i="10" s="1"/>
  <c r="P112" i="7"/>
  <c r="P112" i="8" s="1"/>
  <c r="P112" i="9" s="1"/>
  <c r="P112" i="10" s="1"/>
  <c r="F112" i="7"/>
  <c r="F112" i="8" s="1"/>
  <c r="F112" i="9" s="1"/>
  <c r="F112" i="10" s="1"/>
  <c r="O112" i="7"/>
  <c r="O112" i="8" s="1"/>
  <c r="O112" i="9" s="1"/>
  <c r="O112" i="10" s="1"/>
  <c r="L112" i="7"/>
  <c r="L112" i="8" s="1"/>
  <c r="L112" i="9" s="1"/>
  <c r="L112" i="10" s="1"/>
  <c r="K112" i="7"/>
  <c r="K112" i="8" s="1"/>
  <c r="K112" i="9" s="1"/>
  <c r="K112" i="10" s="1"/>
  <c r="E112" i="7"/>
  <c r="E112" i="8" s="1"/>
  <c r="E112" i="9" s="1"/>
  <c r="E112" i="10" s="1"/>
  <c r="J112" i="7"/>
  <c r="J112" i="8" s="1"/>
  <c r="J112" i="9" s="1"/>
  <c r="J112" i="10" s="1"/>
  <c r="H112" i="7"/>
  <c r="H112" i="8" s="1"/>
  <c r="H112" i="9" s="1"/>
  <c r="H112" i="10" s="1"/>
  <c r="I112" i="7"/>
  <c r="I112" i="8" s="1"/>
  <c r="I112" i="9" s="1"/>
  <c r="I112" i="10" s="1"/>
  <c r="G112" i="7"/>
  <c r="G112" i="8" s="1"/>
  <c r="G112" i="9" s="1"/>
  <c r="G112" i="10" s="1"/>
  <c r="N112" i="7"/>
  <c r="N112" i="8" s="1"/>
  <c r="N112" i="9" s="1"/>
  <c r="N112" i="10" s="1"/>
  <c r="E149" i="6"/>
  <c r="E146" i="6"/>
  <c r="E145" i="6"/>
  <c r="E143" i="6"/>
  <c r="E142" i="6"/>
  <c r="E140" i="6"/>
  <c r="E139" i="6"/>
  <c r="E137" i="6"/>
  <c r="E136" i="6"/>
  <c r="E135" i="6"/>
  <c r="E134" i="6"/>
  <c r="A1" i="6"/>
  <c r="A1" i="5"/>
  <c r="G299" i="4" l="1"/>
  <c r="G252" i="4"/>
  <c r="U98" i="17"/>
  <c r="G224" i="4"/>
  <c r="O96" i="17"/>
  <c r="G204" i="4"/>
  <c r="G179" i="4"/>
  <c r="G118" i="4"/>
  <c r="T79" i="17"/>
  <c r="G95" i="4"/>
  <c r="G83" i="4"/>
  <c r="V76" i="17"/>
  <c r="G75" i="4"/>
  <c r="G66" i="4"/>
  <c r="G60" i="4"/>
  <c r="G54" i="4"/>
  <c r="U70" i="17"/>
  <c r="G46" i="4"/>
  <c r="G33" i="4"/>
  <c r="N67" i="17"/>
  <c r="G26" i="4"/>
  <c r="G19" i="4"/>
  <c r="O64" i="17"/>
  <c r="M78" i="7" l="1"/>
  <c r="M78" i="8" s="1"/>
  <c r="M78" i="9" s="1"/>
  <c r="M78" i="10" s="1"/>
  <c r="O78" i="7"/>
  <c r="O78" i="8" s="1"/>
  <c r="O78" i="9" s="1"/>
  <c r="O78" i="10" s="1"/>
  <c r="L78" i="7"/>
  <c r="L78" i="8" s="1"/>
  <c r="L78" i="9" s="1"/>
  <c r="L78" i="10" s="1"/>
  <c r="N78" i="7"/>
  <c r="N78" i="8" s="1"/>
  <c r="N78" i="9" s="1"/>
  <c r="N78" i="10" s="1"/>
  <c r="K78" i="7"/>
  <c r="K78" i="8" s="1"/>
  <c r="K78" i="9" s="1"/>
  <c r="K78" i="10" s="1"/>
  <c r="J78" i="7"/>
  <c r="J78" i="8" s="1"/>
  <c r="J78" i="9" s="1"/>
  <c r="J78" i="10" s="1"/>
  <c r="I78" i="7"/>
  <c r="I78" i="8" s="1"/>
  <c r="I78" i="9" s="1"/>
  <c r="I78" i="10" s="1"/>
  <c r="H78" i="7"/>
  <c r="H78" i="8" s="1"/>
  <c r="H78" i="9" s="1"/>
  <c r="H78" i="10" s="1"/>
  <c r="G78" i="7"/>
  <c r="G78" i="8" s="1"/>
  <c r="G78" i="9" s="1"/>
  <c r="G78" i="10" s="1"/>
  <c r="E78" i="7"/>
  <c r="E78" i="8" s="1"/>
  <c r="E78" i="9" s="1"/>
  <c r="E78" i="10" s="1"/>
  <c r="F78" i="7"/>
  <c r="F78" i="8" s="1"/>
  <c r="F78" i="9" s="1"/>
  <c r="F78" i="10" s="1"/>
  <c r="AC99" i="17"/>
  <c r="AC103" i="17" s="1"/>
  <c r="AC92" i="17"/>
  <c r="Y109" i="17"/>
  <c r="Y115" i="17" s="1"/>
  <c r="Y117" i="17" s="1"/>
  <c r="U103" i="17"/>
  <c r="O103" i="17"/>
  <c r="T80" i="17"/>
  <c r="T115" i="17" s="1"/>
  <c r="T117" i="17" s="1"/>
  <c r="U74" i="17"/>
  <c r="O74" i="17"/>
  <c r="E93" i="17"/>
  <c r="E92" i="17"/>
  <c r="E105" i="17"/>
  <c r="E85" i="17"/>
  <c r="AO85" i="17" s="1"/>
  <c r="E98" i="17"/>
  <c r="E69" i="17"/>
  <c r="AO69" i="17" s="1"/>
  <c r="E84" i="17"/>
  <c r="E67" i="17"/>
  <c r="E83" i="17"/>
  <c r="E89" i="17"/>
  <c r="E88" i="17"/>
  <c r="E100" i="17"/>
  <c r="E111" i="17"/>
  <c r="AO68" i="17"/>
  <c r="H33" i="4"/>
  <c r="X33" i="4" s="1"/>
  <c r="A1" i="4"/>
  <c r="A3" i="4"/>
  <c r="P78" i="7" l="1"/>
  <c r="P78" i="8" s="1"/>
  <c r="P78" i="9" s="1"/>
  <c r="P78" i="10" s="1"/>
  <c r="J89" i="7"/>
  <c r="J89" i="8" s="1"/>
  <c r="J89" i="9" s="1"/>
  <c r="J89" i="10" s="1"/>
  <c r="I89" i="7"/>
  <c r="I89" i="8" s="1"/>
  <c r="I89" i="9" s="1"/>
  <c r="I89" i="10" s="1"/>
  <c r="H89" i="7"/>
  <c r="H89" i="8" s="1"/>
  <c r="H89" i="9" s="1"/>
  <c r="H89" i="10" s="1"/>
  <c r="G89" i="7"/>
  <c r="G89" i="8" s="1"/>
  <c r="G89" i="9" s="1"/>
  <c r="G89" i="10" s="1"/>
  <c r="L89" i="7"/>
  <c r="L89" i="8" s="1"/>
  <c r="L89" i="9" s="1"/>
  <c r="L89" i="10" s="1"/>
  <c r="F89" i="7"/>
  <c r="F89" i="8" s="1"/>
  <c r="F89" i="9" s="1"/>
  <c r="F89" i="10" s="1"/>
  <c r="O89" i="7"/>
  <c r="O89" i="8" s="1"/>
  <c r="O89" i="9" s="1"/>
  <c r="O89" i="10" s="1"/>
  <c r="K89" i="7"/>
  <c r="K89" i="8" s="1"/>
  <c r="K89" i="9" s="1"/>
  <c r="K89" i="10" s="1"/>
  <c r="N89" i="7"/>
  <c r="N89" i="8" s="1"/>
  <c r="N89" i="9" s="1"/>
  <c r="N89" i="10" s="1"/>
  <c r="M89" i="7"/>
  <c r="M89" i="8" s="1"/>
  <c r="M89" i="9" s="1"/>
  <c r="M89" i="10" s="1"/>
  <c r="E89" i="7"/>
  <c r="E89" i="8" s="1"/>
  <c r="E89" i="9" s="1"/>
  <c r="E89" i="10" s="1"/>
  <c r="Z135" i="4"/>
  <c r="O83" i="7"/>
  <c r="O83" i="8" s="1"/>
  <c r="O83" i="9" s="1"/>
  <c r="O83" i="10" s="1"/>
  <c r="N83" i="7"/>
  <c r="N83" i="8" s="1"/>
  <c r="N83" i="9" s="1"/>
  <c r="N83" i="10" s="1"/>
  <c r="M83" i="7"/>
  <c r="M83" i="8" s="1"/>
  <c r="M83" i="9" s="1"/>
  <c r="M83" i="10" s="1"/>
  <c r="E83" i="7"/>
  <c r="E83" i="8" s="1"/>
  <c r="E83" i="9" s="1"/>
  <c r="E83" i="10" s="1"/>
  <c r="F83" i="7"/>
  <c r="F83" i="8" s="1"/>
  <c r="F83" i="9" s="1"/>
  <c r="F83" i="10" s="1"/>
  <c r="L83" i="7"/>
  <c r="L83" i="8" s="1"/>
  <c r="L83" i="9" s="1"/>
  <c r="L83" i="10" s="1"/>
  <c r="K83" i="7"/>
  <c r="K83" i="8" s="1"/>
  <c r="K83" i="9" s="1"/>
  <c r="K83" i="10" s="1"/>
  <c r="J83" i="7"/>
  <c r="J83" i="8" s="1"/>
  <c r="J83" i="9" s="1"/>
  <c r="J83" i="10" s="1"/>
  <c r="I83" i="7"/>
  <c r="I83" i="8" s="1"/>
  <c r="I83" i="9" s="1"/>
  <c r="I83" i="10" s="1"/>
  <c r="H83" i="7"/>
  <c r="H83" i="8" s="1"/>
  <c r="H83" i="9" s="1"/>
  <c r="H83" i="10" s="1"/>
  <c r="G83" i="7"/>
  <c r="G83" i="8" s="1"/>
  <c r="G83" i="9" s="1"/>
  <c r="G83" i="10" s="1"/>
  <c r="Z144" i="4"/>
  <c r="G84" i="7"/>
  <c r="G84" i="8" s="1"/>
  <c r="G84" i="9" s="1"/>
  <c r="G84" i="10" s="1"/>
  <c r="O84" i="7"/>
  <c r="O84" i="8" s="1"/>
  <c r="O84" i="9" s="1"/>
  <c r="O84" i="10" s="1"/>
  <c r="E84" i="7"/>
  <c r="E84" i="8" s="1"/>
  <c r="E84" i="9" s="1"/>
  <c r="E84" i="10" s="1"/>
  <c r="N84" i="7"/>
  <c r="N84" i="8" s="1"/>
  <c r="N84" i="9" s="1"/>
  <c r="N84" i="10" s="1"/>
  <c r="M84" i="7"/>
  <c r="M84" i="8" s="1"/>
  <c r="M84" i="9" s="1"/>
  <c r="M84" i="10" s="1"/>
  <c r="L84" i="7"/>
  <c r="L84" i="8" s="1"/>
  <c r="L84" i="9" s="1"/>
  <c r="L84" i="10" s="1"/>
  <c r="K84" i="7"/>
  <c r="K84" i="8" s="1"/>
  <c r="K84" i="9" s="1"/>
  <c r="K84" i="10" s="1"/>
  <c r="F84" i="7"/>
  <c r="F84" i="8" s="1"/>
  <c r="F84" i="9" s="1"/>
  <c r="F84" i="10" s="1"/>
  <c r="J84" i="7"/>
  <c r="J84" i="8" s="1"/>
  <c r="J84" i="9" s="1"/>
  <c r="J84" i="10" s="1"/>
  <c r="I84" i="7"/>
  <c r="I84" i="8" s="1"/>
  <c r="I84" i="9" s="1"/>
  <c r="I84" i="10" s="1"/>
  <c r="H84" i="7"/>
  <c r="H84" i="8" s="1"/>
  <c r="H84" i="9" s="1"/>
  <c r="H84" i="10" s="1"/>
  <c r="G69" i="7"/>
  <c r="G69" i="8" s="1"/>
  <c r="G69" i="9" s="1"/>
  <c r="G69" i="10" s="1"/>
  <c r="E69" i="7"/>
  <c r="E69" i="8" s="1"/>
  <c r="E69" i="9" s="1"/>
  <c r="E69" i="10" s="1"/>
  <c r="H69" i="7"/>
  <c r="H69" i="8" s="1"/>
  <c r="H69" i="9" s="1"/>
  <c r="H69" i="10" s="1"/>
  <c r="F69" i="7"/>
  <c r="F69" i="8" s="1"/>
  <c r="F69" i="9" s="1"/>
  <c r="F69" i="10" s="1"/>
  <c r="I69" i="7"/>
  <c r="I69" i="8" s="1"/>
  <c r="I69" i="9" s="1"/>
  <c r="I69" i="10" s="1"/>
  <c r="O69" i="7"/>
  <c r="O69" i="8" s="1"/>
  <c r="O69" i="9" s="1"/>
  <c r="O69" i="10" s="1"/>
  <c r="N69" i="7"/>
  <c r="N69" i="8" s="1"/>
  <c r="N69" i="9" s="1"/>
  <c r="N69" i="10" s="1"/>
  <c r="M69" i="7"/>
  <c r="M69" i="8" s="1"/>
  <c r="M69" i="9" s="1"/>
  <c r="M69" i="10" s="1"/>
  <c r="L69" i="7"/>
  <c r="L69" i="8" s="1"/>
  <c r="L69" i="9" s="1"/>
  <c r="L69" i="10" s="1"/>
  <c r="K69" i="7"/>
  <c r="K69" i="8" s="1"/>
  <c r="K69" i="9" s="1"/>
  <c r="K69" i="10" s="1"/>
  <c r="J69" i="7"/>
  <c r="J69" i="8" s="1"/>
  <c r="J69" i="9" s="1"/>
  <c r="J69" i="10" s="1"/>
  <c r="Z309" i="4"/>
  <c r="F111" i="7"/>
  <c r="F111" i="8" s="1"/>
  <c r="F111" i="9" s="1"/>
  <c r="F111" i="10" s="1"/>
  <c r="O111" i="7"/>
  <c r="O111" i="8" s="1"/>
  <c r="O111" i="9" s="1"/>
  <c r="O111" i="10" s="1"/>
  <c r="N111" i="7"/>
  <c r="N111" i="8" s="1"/>
  <c r="N111" i="9" s="1"/>
  <c r="N111" i="10" s="1"/>
  <c r="M111" i="7"/>
  <c r="M111" i="8" s="1"/>
  <c r="M111" i="9" s="1"/>
  <c r="M111" i="10" s="1"/>
  <c r="L111" i="7"/>
  <c r="L111" i="8" s="1"/>
  <c r="L111" i="9" s="1"/>
  <c r="L111" i="10" s="1"/>
  <c r="K111" i="7"/>
  <c r="K111" i="8" s="1"/>
  <c r="K111" i="9" s="1"/>
  <c r="K111" i="10" s="1"/>
  <c r="G111" i="7"/>
  <c r="G111" i="8" s="1"/>
  <c r="G111" i="9" s="1"/>
  <c r="G111" i="10" s="1"/>
  <c r="J111" i="7"/>
  <c r="J111" i="8" s="1"/>
  <c r="J111" i="9" s="1"/>
  <c r="J111" i="10" s="1"/>
  <c r="H111" i="7"/>
  <c r="H111" i="8" s="1"/>
  <c r="H111" i="9" s="1"/>
  <c r="H111" i="10" s="1"/>
  <c r="I111" i="7"/>
  <c r="I111" i="8" s="1"/>
  <c r="I111" i="9" s="1"/>
  <c r="I111" i="10" s="1"/>
  <c r="Z153" i="4"/>
  <c r="F85" i="7"/>
  <c r="F85" i="8" s="1"/>
  <c r="F85" i="9" s="1"/>
  <c r="F85" i="10" s="1"/>
  <c r="E85" i="7"/>
  <c r="E85" i="8" s="1"/>
  <c r="E85" i="9" s="1"/>
  <c r="E85" i="10" s="1"/>
  <c r="G85" i="7"/>
  <c r="G85" i="8" s="1"/>
  <c r="G85" i="9" s="1"/>
  <c r="G85" i="10" s="1"/>
  <c r="O85" i="7"/>
  <c r="O85" i="8" s="1"/>
  <c r="O85" i="9" s="1"/>
  <c r="O85" i="10" s="1"/>
  <c r="N85" i="7"/>
  <c r="N85" i="8" s="1"/>
  <c r="N85" i="9" s="1"/>
  <c r="N85" i="10" s="1"/>
  <c r="M85" i="7"/>
  <c r="M85" i="8" s="1"/>
  <c r="M85" i="9" s="1"/>
  <c r="M85" i="10" s="1"/>
  <c r="L85" i="7"/>
  <c r="L85" i="8" s="1"/>
  <c r="L85" i="9" s="1"/>
  <c r="L85" i="10" s="1"/>
  <c r="K85" i="7"/>
  <c r="K85" i="8" s="1"/>
  <c r="K85" i="9" s="1"/>
  <c r="K85" i="10" s="1"/>
  <c r="J85" i="7"/>
  <c r="J85" i="8" s="1"/>
  <c r="J85" i="9" s="1"/>
  <c r="J85" i="10" s="1"/>
  <c r="H85" i="7"/>
  <c r="H85" i="8" s="1"/>
  <c r="H85" i="9" s="1"/>
  <c r="H85" i="10" s="1"/>
  <c r="I85" i="7"/>
  <c r="I85" i="8" s="1"/>
  <c r="I85" i="9" s="1"/>
  <c r="I85" i="10" s="1"/>
  <c r="Z173" i="4"/>
  <c r="I88" i="7"/>
  <c r="I88" i="8" s="1"/>
  <c r="I88" i="9" s="1"/>
  <c r="I88" i="10" s="1"/>
  <c r="J88" i="7"/>
  <c r="J88" i="8" s="1"/>
  <c r="J88" i="9" s="1"/>
  <c r="J88" i="10" s="1"/>
  <c r="H88" i="7"/>
  <c r="H88" i="8" s="1"/>
  <c r="H88" i="9" s="1"/>
  <c r="H88" i="10" s="1"/>
  <c r="E88" i="7"/>
  <c r="E88" i="8" s="1"/>
  <c r="E88" i="9" s="1"/>
  <c r="E88" i="10" s="1"/>
  <c r="G88" i="7"/>
  <c r="G88" i="8" s="1"/>
  <c r="G88" i="9" s="1"/>
  <c r="G88" i="10" s="1"/>
  <c r="F88" i="7"/>
  <c r="F88" i="8" s="1"/>
  <c r="F88" i="9" s="1"/>
  <c r="F88" i="10" s="1"/>
  <c r="K88" i="7"/>
  <c r="K88" i="8" s="1"/>
  <c r="K88" i="9" s="1"/>
  <c r="K88" i="10" s="1"/>
  <c r="O88" i="7"/>
  <c r="O88" i="8" s="1"/>
  <c r="O88" i="9" s="1"/>
  <c r="O88" i="10" s="1"/>
  <c r="N88" i="7"/>
  <c r="N88" i="8" s="1"/>
  <c r="N88" i="9" s="1"/>
  <c r="N88" i="10" s="1"/>
  <c r="M88" i="7"/>
  <c r="M88" i="8" s="1"/>
  <c r="M88" i="9" s="1"/>
  <c r="M88" i="10" s="1"/>
  <c r="L88" i="7"/>
  <c r="L88" i="8" s="1"/>
  <c r="L88" i="9" s="1"/>
  <c r="L88" i="10" s="1"/>
  <c r="Z289" i="4"/>
  <c r="G105" i="7"/>
  <c r="G105" i="8" s="1"/>
  <c r="G105" i="9" s="1"/>
  <c r="G105" i="10" s="1"/>
  <c r="E105" i="7"/>
  <c r="E105" i="8" s="1"/>
  <c r="E105" i="9" s="1"/>
  <c r="E105" i="10" s="1"/>
  <c r="U105" i="1"/>
  <c r="O105" i="7"/>
  <c r="O105" i="8" s="1"/>
  <c r="O105" i="9" s="1"/>
  <c r="O105" i="10" s="1"/>
  <c r="N105" i="7"/>
  <c r="N105" i="8" s="1"/>
  <c r="N105" i="9" s="1"/>
  <c r="N105" i="10" s="1"/>
  <c r="I105" i="7"/>
  <c r="I105" i="8" s="1"/>
  <c r="I105" i="9" s="1"/>
  <c r="I105" i="10" s="1"/>
  <c r="H105" i="7"/>
  <c r="H105" i="8" s="1"/>
  <c r="H105" i="9" s="1"/>
  <c r="H105" i="10" s="1"/>
  <c r="M105" i="7"/>
  <c r="M105" i="8" s="1"/>
  <c r="M105" i="9" s="1"/>
  <c r="M105" i="10" s="1"/>
  <c r="L105" i="7"/>
  <c r="L105" i="8" s="1"/>
  <c r="L105" i="9" s="1"/>
  <c r="L105" i="10" s="1"/>
  <c r="K105" i="7"/>
  <c r="K105" i="8" s="1"/>
  <c r="K105" i="9" s="1"/>
  <c r="K105" i="10" s="1"/>
  <c r="J105" i="7"/>
  <c r="J105" i="8" s="1"/>
  <c r="J105" i="9" s="1"/>
  <c r="J105" i="10" s="1"/>
  <c r="Z239" i="4"/>
  <c r="O98" i="7"/>
  <c r="O98" i="8" s="1"/>
  <c r="O98" i="9" s="1"/>
  <c r="O98" i="10" s="1"/>
  <c r="N98" i="7"/>
  <c r="N98" i="8" s="1"/>
  <c r="N98" i="9" s="1"/>
  <c r="N98" i="10" s="1"/>
  <c r="M98" i="7"/>
  <c r="M98" i="8" s="1"/>
  <c r="M98" i="9" s="1"/>
  <c r="M98" i="10" s="1"/>
  <c r="E98" i="7"/>
  <c r="E98" i="8" s="1"/>
  <c r="E98" i="9" s="1"/>
  <c r="E98" i="10" s="1"/>
  <c r="L98" i="7"/>
  <c r="L98" i="8" s="1"/>
  <c r="L98" i="9" s="1"/>
  <c r="L98" i="10" s="1"/>
  <c r="K98" i="7"/>
  <c r="K98" i="8" s="1"/>
  <c r="K98" i="9" s="1"/>
  <c r="K98" i="10" s="1"/>
  <c r="J98" i="7"/>
  <c r="J98" i="8" s="1"/>
  <c r="J98" i="9" s="1"/>
  <c r="J98" i="10" s="1"/>
  <c r="I98" i="7"/>
  <c r="I98" i="8" s="1"/>
  <c r="I98" i="9" s="1"/>
  <c r="I98" i="10" s="1"/>
  <c r="H98" i="7"/>
  <c r="H98" i="8" s="1"/>
  <c r="H98" i="9" s="1"/>
  <c r="H98" i="10" s="1"/>
  <c r="G98" i="7"/>
  <c r="G98" i="8" s="1"/>
  <c r="G98" i="9" s="1"/>
  <c r="G98" i="10" s="1"/>
  <c r="F98" i="7"/>
  <c r="F98" i="8" s="1"/>
  <c r="F98" i="9" s="1"/>
  <c r="F98" i="10" s="1"/>
  <c r="Z212" i="4"/>
  <c r="M93" i="7"/>
  <c r="M93" i="8" s="1"/>
  <c r="M93" i="9" s="1"/>
  <c r="M93" i="10" s="1"/>
  <c r="L93" i="7"/>
  <c r="L93" i="8" s="1"/>
  <c r="L93" i="9" s="1"/>
  <c r="L93" i="10" s="1"/>
  <c r="N93" i="7"/>
  <c r="N93" i="8" s="1"/>
  <c r="N93" i="9" s="1"/>
  <c r="N93" i="10" s="1"/>
  <c r="K93" i="7"/>
  <c r="K93" i="8" s="1"/>
  <c r="K93" i="9" s="1"/>
  <c r="K93" i="10" s="1"/>
  <c r="J93" i="7"/>
  <c r="J93" i="8" s="1"/>
  <c r="J93" i="9" s="1"/>
  <c r="J93" i="10" s="1"/>
  <c r="I93" i="7"/>
  <c r="I93" i="8" s="1"/>
  <c r="I93" i="9" s="1"/>
  <c r="I93" i="10" s="1"/>
  <c r="H93" i="7"/>
  <c r="H93" i="8" s="1"/>
  <c r="H93" i="9" s="1"/>
  <c r="H93" i="10" s="1"/>
  <c r="G93" i="7"/>
  <c r="G93" i="8" s="1"/>
  <c r="G93" i="9" s="1"/>
  <c r="G93" i="10" s="1"/>
  <c r="E93" i="7"/>
  <c r="E93" i="8" s="1"/>
  <c r="E93" i="9" s="1"/>
  <c r="E93" i="10" s="1"/>
  <c r="O93" i="7"/>
  <c r="O93" i="8" s="1"/>
  <c r="O93" i="9" s="1"/>
  <c r="O93" i="10" s="1"/>
  <c r="F93" i="7"/>
  <c r="F93" i="8" s="1"/>
  <c r="F93" i="9" s="1"/>
  <c r="F93" i="10" s="1"/>
  <c r="Z33" i="4"/>
  <c r="G67" i="7"/>
  <c r="G67" i="8" s="1"/>
  <c r="G67" i="9" s="1"/>
  <c r="G67" i="10" s="1"/>
  <c r="O67" i="7"/>
  <c r="O67" i="8" s="1"/>
  <c r="O67" i="9" s="1"/>
  <c r="O67" i="10" s="1"/>
  <c r="E67" i="7"/>
  <c r="E67" i="8" s="1"/>
  <c r="E67" i="9" s="1"/>
  <c r="E67" i="10" s="1"/>
  <c r="N67" i="7"/>
  <c r="N67" i="8" s="1"/>
  <c r="N67" i="9" s="1"/>
  <c r="N67" i="10" s="1"/>
  <c r="M67" i="7"/>
  <c r="M67" i="8" s="1"/>
  <c r="M67" i="9" s="1"/>
  <c r="M67" i="10" s="1"/>
  <c r="L67" i="7"/>
  <c r="L67" i="8" s="1"/>
  <c r="L67" i="9" s="1"/>
  <c r="L67" i="10" s="1"/>
  <c r="K67" i="7"/>
  <c r="K67" i="8" s="1"/>
  <c r="K67" i="9" s="1"/>
  <c r="K67" i="10" s="1"/>
  <c r="F67" i="7"/>
  <c r="F67" i="8" s="1"/>
  <c r="F67" i="9" s="1"/>
  <c r="F67" i="10" s="1"/>
  <c r="J67" i="7"/>
  <c r="J67" i="8" s="1"/>
  <c r="J67" i="9" s="1"/>
  <c r="J67" i="10" s="1"/>
  <c r="I67" i="7"/>
  <c r="I67" i="8" s="1"/>
  <c r="I67" i="9" s="1"/>
  <c r="I67" i="10" s="1"/>
  <c r="H67" i="7"/>
  <c r="H67" i="8" s="1"/>
  <c r="H67" i="9" s="1"/>
  <c r="H67" i="10" s="1"/>
  <c r="E106" i="17"/>
  <c r="AO98" i="17"/>
  <c r="AO93" i="17"/>
  <c r="AO89" i="17"/>
  <c r="AO88" i="17"/>
  <c r="AO84" i="17"/>
  <c r="AO83" i="17"/>
  <c r="AO67" i="17"/>
  <c r="AO105" i="17"/>
  <c r="AO106" i="17" s="1"/>
  <c r="E113" i="17"/>
  <c r="AO111" i="17"/>
  <c r="AO113" i="17" s="1"/>
  <c r="Z46" i="4"/>
  <c r="Z179" i="4"/>
  <c r="U111" i="1" l="1"/>
  <c r="F105" i="7"/>
  <c r="F105" i="8" s="1"/>
  <c r="F105" i="9" s="1"/>
  <c r="F105" i="10" s="1"/>
  <c r="P84" i="7"/>
  <c r="P84" i="8" s="1"/>
  <c r="P84" i="9" s="1"/>
  <c r="P84" i="10" s="1"/>
  <c r="P98" i="7"/>
  <c r="P98" i="8" s="1"/>
  <c r="P98" i="9" s="1"/>
  <c r="P98" i="10" s="1"/>
  <c r="P89" i="7"/>
  <c r="P89" i="8" s="1"/>
  <c r="P89" i="9" s="1"/>
  <c r="P89" i="10" s="1"/>
  <c r="P111" i="7"/>
  <c r="P111" i="8" s="1"/>
  <c r="P111" i="9" s="1"/>
  <c r="P111" i="10" s="1"/>
  <c r="P88" i="7"/>
  <c r="P88" i="8" s="1"/>
  <c r="P88" i="9" s="1"/>
  <c r="P88" i="10" s="1"/>
  <c r="P69" i="7"/>
  <c r="P69" i="8" s="1"/>
  <c r="P69" i="9" s="1"/>
  <c r="P69" i="10" s="1"/>
  <c r="P67" i="7"/>
  <c r="P67" i="8" s="1"/>
  <c r="P67" i="9" s="1"/>
  <c r="P67" i="10" s="1"/>
  <c r="P85" i="7"/>
  <c r="P85" i="8" s="1"/>
  <c r="P85" i="9" s="1"/>
  <c r="P85" i="10" s="1"/>
  <c r="P105" i="7"/>
  <c r="P105" i="8" s="1"/>
  <c r="P105" i="9" s="1"/>
  <c r="P105" i="10" s="1"/>
  <c r="P83" i="7"/>
  <c r="P83" i="8" s="1"/>
  <c r="P83" i="9" s="1"/>
  <c r="P83" i="10" s="1"/>
  <c r="P93" i="7"/>
  <c r="P93" i="8" s="1"/>
  <c r="P93" i="9" s="1"/>
  <c r="P93" i="10" s="1"/>
  <c r="E111" i="7"/>
  <c r="E111" i="8" s="1"/>
  <c r="E111" i="9" s="1"/>
  <c r="E111" i="10" s="1"/>
  <c r="P106" i="1"/>
  <c r="S93" i="1"/>
  <c r="S24" i="1"/>
  <c r="E15" i="17"/>
  <c r="G11" i="18" s="1"/>
  <c r="F11" i="18" s="1"/>
  <c r="E24" i="17" l="1"/>
  <c r="G9" i="18" s="1"/>
  <c r="F9" i="18" s="1"/>
  <c r="X24" i="1"/>
  <c r="X25" i="1" s="1"/>
  <c r="X93" i="1"/>
  <c r="E113" i="7"/>
  <c r="AD24" i="1"/>
  <c r="AD25" i="1" s="1"/>
  <c r="S25" i="1"/>
  <c r="J17" i="11" s="1"/>
  <c r="K17" i="11" s="1"/>
  <c r="AD15" i="1"/>
  <c r="U15" i="7"/>
  <c r="U24" i="7"/>
  <c r="U25" i="7" s="1"/>
  <c r="S37" i="1"/>
  <c r="X40" i="1"/>
  <c r="S38" i="1"/>
  <c r="S39" i="1"/>
  <c r="S36" i="1"/>
  <c r="S35" i="1"/>
  <c r="S34" i="1"/>
  <c r="S33" i="1"/>
  <c r="S32" i="1"/>
  <c r="S31" i="1"/>
  <c r="X39" i="1" l="1"/>
  <c r="N39" i="17"/>
  <c r="G50" i="18" s="1"/>
  <c r="F50" i="18" s="1"/>
  <c r="X38" i="1"/>
  <c r="F38" i="17"/>
  <c r="G22" i="18" s="1"/>
  <c r="F22" i="18" s="1"/>
  <c r="X31" i="1"/>
  <c r="F31" i="17"/>
  <c r="G20" i="18" s="1"/>
  <c r="F20" i="18" s="1"/>
  <c r="X32" i="1"/>
  <c r="X41" i="1" s="1"/>
  <c r="N32" i="17"/>
  <c r="G44" i="18" s="1"/>
  <c r="F44" i="18" s="1"/>
  <c r="X33" i="1"/>
  <c r="N33" i="17"/>
  <c r="G45" i="18" s="1"/>
  <c r="F45" i="18" s="1"/>
  <c r="X34" i="1"/>
  <c r="N34" i="17"/>
  <c r="G46" i="18" s="1"/>
  <c r="F46" i="18" s="1"/>
  <c r="X37" i="1"/>
  <c r="N37" i="17"/>
  <c r="G49" i="18" s="1"/>
  <c r="F49" i="18" s="1"/>
  <c r="X35" i="1"/>
  <c r="F35" i="17"/>
  <c r="G21" i="18" s="1"/>
  <c r="F21" i="18" s="1"/>
  <c r="X36" i="1"/>
  <c r="N36" i="17"/>
  <c r="G48" i="18" s="1"/>
  <c r="F48" i="18" s="1"/>
  <c r="G14" i="16"/>
  <c r="H14" i="16" s="1"/>
  <c r="AA24" i="1"/>
  <c r="AA25" i="1" s="1"/>
  <c r="E25" i="17"/>
  <c r="AO24" i="17"/>
  <c r="AD34" i="1"/>
  <c r="AD35" i="1"/>
  <c r="AD31" i="1"/>
  <c r="AD32" i="1"/>
  <c r="AD40" i="1"/>
  <c r="AD39" i="1"/>
  <c r="AD33" i="1"/>
  <c r="AD37" i="1"/>
  <c r="AD36" i="1"/>
  <c r="F17" i="17"/>
  <c r="AD38" i="1"/>
  <c r="E17" i="17"/>
  <c r="AO15" i="17"/>
  <c r="AA22" i="17"/>
  <c r="AA27" i="17" s="1"/>
  <c r="I22" i="17"/>
  <c r="I27" i="17" s="1"/>
  <c r="I117" i="17" s="1"/>
  <c r="E31" i="6"/>
  <c r="AA15" i="1"/>
  <c r="AA35" i="1"/>
  <c r="U35" i="7"/>
  <c r="U34" i="7"/>
  <c r="U36" i="7"/>
  <c r="AA31" i="1"/>
  <c r="U31" i="7"/>
  <c r="AA38" i="1"/>
  <c r="U38" i="7"/>
  <c r="U32" i="7"/>
  <c r="U40" i="7"/>
  <c r="U39" i="7"/>
  <c r="U33" i="7"/>
  <c r="U37" i="7"/>
  <c r="AO35" i="17" l="1"/>
  <c r="AQ35" i="17" s="1"/>
  <c r="L25" i="7"/>
  <c r="H25" i="7"/>
  <c r="P25" i="7"/>
  <c r="F25" i="7"/>
  <c r="I25" i="7"/>
  <c r="J25" i="7"/>
  <c r="M25" i="7"/>
  <c r="N25" i="7"/>
  <c r="O25" i="7"/>
  <c r="K25" i="7"/>
  <c r="G25" i="7"/>
  <c r="AO38" i="17"/>
  <c r="AQ38" i="17" s="1"/>
  <c r="F41" i="17"/>
  <c r="F27" i="17"/>
  <c r="I22" i="7"/>
  <c r="AA37" i="1"/>
  <c r="AA34" i="1"/>
  <c r="AA36" i="1"/>
  <c r="AA39" i="1"/>
  <c r="AA33" i="1"/>
  <c r="AA40" i="1"/>
  <c r="AA32" i="1"/>
  <c r="L22" i="7"/>
  <c r="M22" i="7"/>
  <c r="N22" i="7"/>
  <c r="H22" i="7"/>
  <c r="G22" i="7"/>
  <c r="AD41" i="1"/>
  <c r="F22" i="7"/>
  <c r="AO25" i="17"/>
  <c r="AQ25" i="17" s="1"/>
  <c r="AQ24" i="17"/>
  <c r="AO31" i="17"/>
  <c r="O22" i="17"/>
  <c r="O27" i="17" s="1"/>
  <c r="AC22" i="17"/>
  <c r="AC27" i="17" s="1"/>
  <c r="AQ15" i="17"/>
  <c r="K22" i="17"/>
  <c r="K27" i="17" s="1"/>
  <c r="K117" i="17" s="1"/>
  <c r="AG22" i="17"/>
  <c r="AG27" i="17" s="1"/>
  <c r="AG117" i="17" s="1"/>
  <c r="E22" i="7"/>
  <c r="E25" i="7"/>
  <c r="S24" i="7"/>
  <c r="E47" i="6"/>
  <c r="E157" i="6" s="1"/>
  <c r="U41" i="7"/>
  <c r="S41" i="1"/>
  <c r="J22" i="11" s="1"/>
  <c r="K22" i="11" l="1"/>
  <c r="U41" i="1"/>
  <c r="E22" i="11" s="1"/>
  <c r="G22" i="11" s="1"/>
  <c r="G19" i="16"/>
  <c r="H19" i="16" s="1"/>
  <c r="AO36" i="17"/>
  <c r="AQ36" i="17" s="1"/>
  <c r="AO40" i="17"/>
  <c r="AQ40" i="17" s="1"/>
  <c r="AO37" i="17"/>
  <c r="AQ37" i="17" s="1"/>
  <c r="AO39" i="17"/>
  <c r="AQ39" i="17" s="1"/>
  <c r="AA41" i="1"/>
  <c r="O41" i="17"/>
  <c r="AO33" i="17"/>
  <c r="AQ33" i="17" s="1"/>
  <c r="N41" i="17"/>
  <c r="AO34" i="17"/>
  <c r="AQ34" i="17" s="1"/>
  <c r="M41" i="17"/>
  <c r="AO32" i="17"/>
  <c r="AQ32" i="17" s="1"/>
  <c r="L22" i="17"/>
  <c r="L27" i="17" s="1"/>
  <c r="L117" i="17" s="1"/>
  <c r="AQ31" i="17"/>
  <c r="AD22" i="17"/>
  <c r="AD27" i="17" s="1"/>
  <c r="AD117" i="17" s="1"/>
  <c r="U24" i="8"/>
  <c r="S25" i="7"/>
  <c r="V24" i="7"/>
  <c r="V25" i="7" s="1"/>
  <c r="C73" i="3"/>
  <c r="C67" i="3"/>
  <c r="C61" i="3"/>
  <c r="C54" i="3"/>
  <c r="C48" i="3"/>
  <c r="C35" i="3"/>
  <c r="C26" i="3"/>
  <c r="Y78" i="3"/>
  <c r="AA78" i="3" s="1"/>
  <c r="AC78" i="3" s="1"/>
  <c r="AE78" i="3" s="1"/>
  <c r="K79" i="3"/>
  <c r="K80" i="3"/>
  <c r="Y80" i="3" s="1"/>
  <c r="AA80" i="3" s="1"/>
  <c r="AC80" i="3" s="1"/>
  <c r="AE80" i="3" s="1"/>
  <c r="Y100" i="3"/>
  <c r="Y84" i="3"/>
  <c r="Y86" i="3"/>
  <c r="Y87" i="3"/>
  <c r="Y111" i="3" s="1"/>
  <c r="K91" i="3"/>
  <c r="Y91" i="3" s="1"/>
  <c r="AA91" i="3" s="1"/>
  <c r="AC91" i="3" s="1"/>
  <c r="AE91" i="3" s="1"/>
  <c r="K92" i="3"/>
  <c r="Y92" i="3" s="1"/>
  <c r="AA92" i="3" s="1"/>
  <c r="AC92" i="3" s="1"/>
  <c r="AE92" i="3" s="1"/>
  <c r="K90" i="3"/>
  <c r="Y88" i="3"/>
  <c r="Y90" i="3" l="1"/>
  <c r="AA90" i="3" s="1"/>
  <c r="AC90" i="3" s="1"/>
  <c r="AE90" i="3" s="1"/>
  <c r="K93" i="3"/>
  <c r="K118" i="3" s="1"/>
  <c r="Y79" i="3"/>
  <c r="Y81" i="3" s="1"/>
  <c r="Y97" i="3" s="1"/>
  <c r="K81" i="3"/>
  <c r="AO41" i="17"/>
  <c r="AQ41" i="17" s="1"/>
  <c r="Y103" i="3"/>
  <c r="Y104" i="3"/>
  <c r="Y102" i="3"/>
  <c r="K101" i="3"/>
  <c r="AA84" i="3"/>
  <c r="AA88" i="3"/>
  <c r="Y112" i="3"/>
  <c r="AA86" i="3"/>
  <c r="AA83" i="3"/>
  <c r="Y110" i="3"/>
  <c r="AA87" i="3"/>
  <c r="U25" i="8"/>
  <c r="E128" i="7"/>
  <c r="Z42" i="3"/>
  <c r="Z26" i="3"/>
  <c r="Y93" i="3" l="1"/>
  <c r="Y120" i="3" s="1"/>
  <c r="N48" i="7"/>
  <c r="N48" i="8" s="1"/>
  <c r="N48" i="9" s="1"/>
  <c r="N48" i="10" s="1"/>
  <c r="M48" i="7"/>
  <c r="M48" i="8" s="1"/>
  <c r="M48" i="9" s="1"/>
  <c r="M48" i="10" s="1"/>
  <c r="L48" i="7"/>
  <c r="L48" i="8" s="1"/>
  <c r="L48" i="9" s="1"/>
  <c r="L48" i="10" s="1"/>
  <c r="K48" i="7"/>
  <c r="K48" i="8" s="1"/>
  <c r="K48" i="9" s="1"/>
  <c r="K48" i="10" s="1"/>
  <c r="J48" i="7"/>
  <c r="J48" i="8" s="1"/>
  <c r="J48" i="9" s="1"/>
  <c r="J48" i="10" s="1"/>
  <c r="I48" i="7"/>
  <c r="I48" i="8" s="1"/>
  <c r="I48" i="9" s="1"/>
  <c r="I48" i="10" s="1"/>
  <c r="E48" i="7"/>
  <c r="E48" i="8" s="1"/>
  <c r="E48" i="9" s="1"/>
  <c r="E48" i="10" s="1"/>
  <c r="H48" i="7"/>
  <c r="H48" i="8" s="1"/>
  <c r="H48" i="9" s="1"/>
  <c r="H48" i="10" s="1"/>
  <c r="G48" i="7"/>
  <c r="G48" i="8" s="1"/>
  <c r="G48" i="9" s="1"/>
  <c r="G48" i="10" s="1"/>
  <c r="F48" i="7"/>
  <c r="F48" i="8" s="1"/>
  <c r="F48" i="9" s="1"/>
  <c r="F48" i="10" s="1"/>
  <c r="P48" i="7"/>
  <c r="P48" i="8" s="1"/>
  <c r="P48" i="9" s="1"/>
  <c r="P48" i="10" s="1"/>
  <c r="O48" i="7"/>
  <c r="O48" i="8" s="1"/>
  <c r="O48" i="9" s="1"/>
  <c r="O48" i="10" s="1"/>
  <c r="AA79" i="3"/>
  <c r="AC79" i="3" s="1"/>
  <c r="AE79" i="3" s="1"/>
  <c r="AE81" i="3" s="1"/>
  <c r="K119" i="3"/>
  <c r="AA104" i="3"/>
  <c r="AA103" i="3"/>
  <c r="AA102" i="3"/>
  <c r="K97" i="3"/>
  <c r="AC84" i="3"/>
  <c r="Y113" i="3"/>
  <c r="K117" i="3"/>
  <c r="K105" i="3"/>
  <c r="AA100" i="3"/>
  <c r="AC88" i="3"/>
  <c r="AA112" i="3"/>
  <c r="AC83" i="3"/>
  <c r="AC86" i="3"/>
  <c r="AA110" i="3"/>
  <c r="AA111" i="3"/>
  <c r="AC87" i="3"/>
  <c r="K98" i="3"/>
  <c r="K120" i="3"/>
  <c r="S128" i="1"/>
  <c r="E138" i="6" s="1"/>
  <c r="Y116" i="3"/>
  <c r="Y108" i="3"/>
  <c r="Y98" i="3"/>
  <c r="AA107" i="3"/>
  <c r="AA115" i="3"/>
  <c r="Y107" i="3"/>
  <c r="Y115" i="3"/>
  <c r="AB42" i="3"/>
  <c r="AD42" i="3"/>
  <c r="AD26" i="3"/>
  <c r="AB26" i="3"/>
  <c r="AA93" i="3"/>
  <c r="Y119" i="3" l="1"/>
  <c r="O61" i="7"/>
  <c r="O61" i="8" s="1"/>
  <c r="O61" i="9" s="1"/>
  <c r="O61" i="10" s="1"/>
  <c r="E61" i="7"/>
  <c r="E61" i="8" s="1"/>
  <c r="E61" i="9" s="1"/>
  <c r="E61" i="10" s="1"/>
  <c r="N61" i="7"/>
  <c r="N61" i="8" s="1"/>
  <c r="N61" i="9" s="1"/>
  <c r="N61" i="10" s="1"/>
  <c r="M61" i="7"/>
  <c r="M61" i="8" s="1"/>
  <c r="M61" i="9" s="1"/>
  <c r="M61" i="10" s="1"/>
  <c r="L61" i="7"/>
  <c r="L61" i="8" s="1"/>
  <c r="L61" i="9" s="1"/>
  <c r="L61" i="10" s="1"/>
  <c r="K61" i="7"/>
  <c r="K61" i="8" s="1"/>
  <c r="K61" i="9" s="1"/>
  <c r="K61" i="10" s="1"/>
  <c r="J61" i="7"/>
  <c r="J61" i="8" s="1"/>
  <c r="J61" i="9" s="1"/>
  <c r="J61" i="10" s="1"/>
  <c r="I61" i="7"/>
  <c r="I61" i="8" s="1"/>
  <c r="I61" i="9" s="1"/>
  <c r="I61" i="10" s="1"/>
  <c r="H61" i="7"/>
  <c r="H61" i="8" s="1"/>
  <c r="H61" i="9" s="1"/>
  <c r="H61" i="10" s="1"/>
  <c r="G61" i="7"/>
  <c r="G61" i="8" s="1"/>
  <c r="G61" i="9" s="1"/>
  <c r="G61" i="10" s="1"/>
  <c r="F61" i="7"/>
  <c r="F61" i="8" s="1"/>
  <c r="F61" i="9" s="1"/>
  <c r="F61" i="10" s="1"/>
  <c r="O45" i="7"/>
  <c r="O45" i="8" s="1"/>
  <c r="O45" i="9" s="1"/>
  <c r="O45" i="10" s="1"/>
  <c r="N45" i="7"/>
  <c r="N45" i="8" s="1"/>
  <c r="N45" i="9" s="1"/>
  <c r="N45" i="10" s="1"/>
  <c r="M45" i="7"/>
  <c r="M45" i="8" s="1"/>
  <c r="M45" i="9" s="1"/>
  <c r="M45" i="10" s="1"/>
  <c r="L45" i="7"/>
  <c r="L45" i="8" s="1"/>
  <c r="L45" i="9" s="1"/>
  <c r="L45" i="10" s="1"/>
  <c r="K45" i="7"/>
  <c r="K45" i="8" s="1"/>
  <c r="K45" i="9" s="1"/>
  <c r="K45" i="10" s="1"/>
  <c r="J45" i="7"/>
  <c r="J45" i="8" s="1"/>
  <c r="J45" i="9" s="1"/>
  <c r="J45" i="10" s="1"/>
  <c r="H45" i="7"/>
  <c r="H45" i="8" s="1"/>
  <c r="H45" i="9" s="1"/>
  <c r="H45" i="10" s="1"/>
  <c r="G45" i="7"/>
  <c r="G45" i="8" s="1"/>
  <c r="G45" i="9" s="1"/>
  <c r="G45" i="10" s="1"/>
  <c r="F45" i="7"/>
  <c r="F45" i="8" s="1"/>
  <c r="F45" i="9" s="1"/>
  <c r="F45" i="10" s="1"/>
  <c r="K60" i="7"/>
  <c r="K60" i="8" s="1"/>
  <c r="K60" i="9" s="1"/>
  <c r="K60" i="10" s="1"/>
  <c r="J60" i="7"/>
  <c r="J60" i="8" s="1"/>
  <c r="J60" i="9" s="1"/>
  <c r="J60" i="10" s="1"/>
  <c r="I60" i="7"/>
  <c r="I60" i="8" s="1"/>
  <c r="I60" i="9" s="1"/>
  <c r="I60" i="10" s="1"/>
  <c r="E60" i="7"/>
  <c r="E60" i="8" s="1"/>
  <c r="E60" i="9" s="1"/>
  <c r="E60" i="10" s="1"/>
  <c r="H60" i="7"/>
  <c r="H60" i="8" s="1"/>
  <c r="H60" i="9" s="1"/>
  <c r="H60" i="10" s="1"/>
  <c r="G60" i="7"/>
  <c r="G60" i="8" s="1"/>
  <c r="G60" i="9" s="1"/>
  <c r="G60" i="10" s="1"/>
  <c r="L60" i="7"/>
  <c r="L60" i="8" s="1"/>
  <c r="L60" i="9" s="1"/>
  <c r="L60" i="10" s="1"/>
  <c r="F60" i="7"/>
  <c r="F60" i="8" s="1"/>
  <c r="F60" i="9" s="1"/>
  <c r="F60" i="10" s="1"/>
  <c r="M60" i="7"/>
  <c r="M60" i="8" s="1"/>
  <c r="M60" i="9" s="1"/>
  <c r="M60" i="10" s="1"/>
  <c r="O60" i="7"/>
  <c r="O60" i="8" s="1"/>
  <c r="O60" i="9" s="1"/>
  <c r="O60" i="10" s="1"/>
  <c r="N60" i="7"/>
  <c r="N60" i="8" s="1"/>
  <c r="N60" i="9" s="1"/>
  <c r="N60" i="10" s="1"/>
  <c r="K44" i="7"/>
  <c r="K44" i="8" s="1"/>
  <c r="K44" i="9" s="1"/>
  <c r="K44" i="10" s="1"/>
  <c r="J44" i="7"/>
  <c r="J44" i="8" s="1"/>
  <c r="J44" i="9" s="1"/>
  <c r="J44" i="10" s="1"/>
  <c r="I44" i="7"/>
  <c r="I44" i="8" s="1"/>
  <c r="I44" i="9" s="1"/>
  <c r="I44" i="10" s="1"/>
  <c r="H44" i="7"/>
  <c r="H44" i="8" s="1"/>
  <c r="H44" i="9" s="1"/>
  <c r="H44" i="10" s="1"/>
  <c r="G44" i="7"/>
  <c r="G44" i="8" s="1"/>
  <c r="G44" i="9" s="1"/>
  <c r="G44" i="10" s="1"/>
  <c r="F44" i="7"/>
  <c r="F44" i="8" s="1"/>
  <c r="F44" i="9" s="1"/>
  <c r="F44" i="10" s="1"/>
  <c r="N44" i="7"/>
  <c r="N44" i="8" s="1"/>
  <c r="N44" i="9" s="1"/>
  <c r="N44" i="10" s="1"/>
  <c r="M44" i="7"/>
  <c r="M44" i="8" s="1"/>
  <c r="M44" i="9" s="1"/>
  <c r="M44" i="10" s="1"/>
  <c r="L44" i="7"/>
  <c r="L44" i="8" s="1"/>
  <c r="L44" i="9" s="1"/>
  <c r="L44" i="10" s="1"/>
  <c r="O44" i="7"/>
  <c r="O44" i="8" s="1"/>
  <c r="O44" i="9" s="1"/>
  <c r="O44" i="10" s="1"/>
  <c r="E45" i="7"/>
  <c r="E45" i="8" s="1"/>
  <c r="E45" i="9" s="1"/>
  <c r="E45" i="10" s="1"/>
  <c r="E44" i="7"/>
  <c r="E44" i="8" s="1"/>
  <c r="E44" i="9" s="1"/>
  <c r="E44" i="10" s="1"/>
  <c r="AC81" i="3"/>
  <c r="AC98" i="3" s="1"/>
  <c r="AA81" i="3"/>
  <c r="AA97" i="3" s="1"/>
  <c r="S57" i="1"/>
  <c r="N57" i="17" s="1"/>
  <c r="G61" i="18" s="1"/>
  <c r="F61" i="18" s="1"/>
  <c r="AC103" i="3"/>
  <c r="AC104" i="3"/>
  <c r="AC102" i="3"/>
  <c r="AE84" i="3"/>
  <c r="Y101" i="3"/>
  <c r="AA101" i="3"/>
  <c r="AA113" i="3"/>
  <c r="AC100" i="3"/>
  <c r="AE86" i="3"/>
  <c r="AA120" i="3"/>
  <c r="AE88" i="3"/>
  <c r="AC112" i="3"/>
  <c r="AE83" i="3"/>
  <c r="AC110" i="3"/>
  <c r="AC111" i="3"/>
  <c r="AE87" i="3"/>
  <c r="AA116" i="3"/>
  <c r="AA108" i="3"/>
  <c r="AA119" i="3"/>
  <c r="S56" i="1"/>
  <c r="S47" i="1"/>
  <c r="S50" i="1"/>
  <c r="S49" i="1"/>
  <c r="N49" i="17" s="1"/>
  <c r="G56" i="18" s="1"/>
  <c r="F56" i="18" s="1"/>
  <c r="S55" i="1"/>
  <c r="N55" i="17" s="1"/>
  <c r="G60" i="18" s="1"/>
  <c r="F60" i="18" s="1"/>
  <c r="S58" i="1"/>
  <c r="N58" i="17" s="1"/>
  <c r="G62" i="18" s="1"/>
  <c r="F62" i="18" s="1"/>
  <c r="AE98" i="3"/>
  <c r="AC116" i="3"/>
  <c r="AC108" i="3"/>
  <c r="S51" i="1"/>
  <c r="N51" i="17" s="1"/>
  <c r="G57" i="18" s="1"/>
  <c r="F57" i="18" s="1"/>
  <c r="S54" i="1"/>
  <c r="N54" i="17" s="1"/>
  <c r="G59" i="18" s="1"/>
  <c r="F59" i="18" s="1"/>
  <c r="S48" i="1"/>
  <c r="N48" i="17" s="1"/>
  <c r="G55" i="18" s="1"/>
  <c r="F55" i="18" s="1"/>
  <c r="AC107" i="3"/>
  <c r="AC115" i="3"/>
  <c r="AE97" i="3"/>
  <c r="AE93" i="3"/>
  <c r="AC93" i="3"/>
  <c r="X56" i="1" l="1"/>
  <c r="AG114" i="3" s="1"/>
  <c r="AH114" i="3" s="1"/>
  <c r="F56" i="17"/>
  <c r="G27" i="18" s="1"/>
  <c r="F27" i="18" s="1"/>
  <c r="X47" i="1"/>
  <c r="AG102" i="3" s="1"/>
  <c r="AH102" i="3" s="1"/>
  <c r="F47" i="17"/>
  <c r="G24" i="18" s="1"/>
  <c r="F24" i="18" s="1"/>
  <c r="X50" i="1"/>
  <c r="AG106" i="3" s="1"/>
  <c r="AH106" i="3" s="1"/>
  <c r="F50" i="17"/>
  <c r="G25" i="18" s="1"/>
  <c r="F25" i="18" s="1"/>
  <c r="X49" i="1"/>
  <c r="AG104" i="3" s="1"/>
  <c r="AH104" i="3" s="1"/>
  <c r="X58" i="1"/>
  <c r="AG116" i="3" s="1"/>
  <c r="AH116" i="3" s="1"/>
  <c r="X55" i="1"/>
  <c r="AG112" i="3" s="1"/>
  <c r="AH112" i="3" s="1"/>
  <c r="X48" i="1"/>
  <c r="AG103" i="3" s="1"/>
  <c r="AH103" i="3" s="1"/>
  <c r="X54" i="1"/>
  <c r="AG111" i="3" s="1"/>
  <c r="AH111" i="3" s="1"/>
  <c r="X57" i="1"/>
  <c r="AG115" i="3" s="1"/>
  <c r="AH115" i="3" s="1"/>
  <c r="X51" i="1"/>
  <c r="AG107" i="3" s="1"/>
  <c r="AH107" i="3" s="1"/>
  <c r="P45" i="7"/>
  <c r="P45" i="8" s="1"/>
  <c r="P45" i="9" s="1"/>
  <c r="P45" i="10" s="1"/>
  <c r="P44" i="7"/>
  <c r="P44" i="8" s="1"/>
  <c r="P44" i="9" s="1"/>
  <c r="P44" i="10" s="1"/>
  <c r="P61" i="7"/>
  <c r="P61" i="8" s="1"/>
  <c r="P61" i="9" s="1"/>
  <c r="P61" i="10" s="1"/>
  <c r="P60" i="7"/>
  <c r="P60" i="8" s="1"/>
  <c r="P60" i="9" s="1"/>
  <c r="P60" i="10" s="1"/>
  <c r="I45" i="7"/>
  <c r="I45" i="8" s="1"/>
  <c r="I45" i="9" s="1"/>
  <c r="I45" i="10" s="1"/>
  <c r="H52" i="7"/>
  <c r="H52" i="8" s="1"/>
  <c r="H52" i="9" s="1"/>
  <c r="H52" i="10" s="1"/>
  <c r="I52" i="7"/>
  <c r="I52" i="8" s="1"/>
  <c r="I52" i="9" s="1"/>
  <c r="I52" i="10" s="1"/>
  <c r="J52" i="7"/>
  <c r="J52" i="8" s="1"/>
  <c r="J52" i="9" s="1"/>
  <c r="J52" i="10" s="1"/>
  <c r="G52" i="7"/>
  <c r="G52" i="8" s="1"/>
  <c r="G52" i="9" s="1"/>
  <c r="G52" i="10" s="1"/>
  <c r="K52" i="7"/>
  <c r="K52" i="8" s="1"/>
  <c r="K52" i="9" s="1"/>
  <c r="K52" i="10" s="1"/>
  <c r="L52" i="7"/>
  <c r="L52" i="8" s="1"/>
  <c r="L52" i="9" s="1"/>
  <c r="L52" i="10" s="1"/>
  <c r="M52" i="7"/>
  <c r="M52" i="8" s="1"/>
  <c r="M52" i="9" s="1"/>
  <c r="M52" i="10" s="1"/>
  <c r="N52" i="7"/>
  <c r="N52" i="8" s="1"/>
  <c r="N52" i="9" s="1"/>
  <c r="N52" i="10" s="1"/>
  <c r="O52" i="7"/>
  <c r="O52" i="8" s="1"/>
  <c r="O52" i="9" s="1"/>
  <c r="O52" i="10" s="1"/>
  <c r="P52" i="7"/>
  <c r="P52" i="8" s="1"/>
  <c r="P52" i="9" s="1"/>
  <c r="P52" i="10" s="1"/>
  <c r="E52" i="7"/>
  <c r="E52" i="8" s="1"/>
  <c r="E52" i="9" s="1"/>
  <c r="E52" i="10" s="1"/>
  <c r="S52" i="1"/>
  <c r="N52" i="17" s="1"/>
  <c r="G58" i="18" s="1"/>
  <c r="F58" i="18" s="1"/>
  <c r="F52" i="7"/>
  <c r="F52" i="8" s="1"/>
  <c r="F52" i="9" s="1"/>
  <c r="F52" i="10" s="1"/>
  <c r="AA98" i="3"/>
  <c r="AC97" i="3"/>
  <c r="AD51" i="1"/>
  <c r="AD58" i="1"/>
  <c r="AD55" i="1"/>
  <c r="AD47" i="1"/>
  <c r="AD49" i="1"/>
  <c r="AD48" i="1"/>
  <c r="AD54" i="1"/>
  <c r="AD57" i="1"/>
  <c r="AD50" i="1"/>
  <c r="AD56" i="1"/>
  <c r="AE103" i="3"/>
  <c r="AE104" i="3"/>
  <c r="AE102" i="3"/>
  <c r="AC101" i="3"/>
  <c r="S44" i="1"/>
  <c r="N44" i="17" s="1"/>
  <c r="G52" i="18" s="1"/>
  <c r="F52" i="18" s="1"/>
  <c r="AC113" i="3"/>
  <c r="AE100" i="3"/>
  <c r="S60" i="1"/>
  <c r="N60" i="17" s="1"/>
  <c r="G63" i="18" s="1"/>
  <c r="F63" i="18" s="1"/>
  <c r="AE120" i="3"/>
  <c r="AC120" i="3"/>
  <c r="AE112" i="3"/>
  <c r="AE110" i="3"/>
  <c r="AE111" i="3"/>
  <c r="AE115" i="3"/>
  <c r="AE107" i="3"/>
  <c r="S61" i="1"/>
  <c r="N61" i="17" s="1"/>
  <c r="G64" i="18" s="1"/>
  <c r="F64" i="18" s="1"/>
  <c r="AE108" i="3"/>
  <c r="AC119" i="3"/>
  <c r="AE116" i="3"/>
  <c r="AE119" i="3"/>
  <c r="S57" i="8"/>
  <c r="S45" i="1"/>
  <c r="N45" i="17" s="1"/>
  <c r="G53" i="18" s="1"/>
  <c r="F53" i="18" s="1"/>
  <c r="S58" i="7"/>
  <c r="S57" i="7"/>
  <c r="AA50" i="1"/>
  <c r="U50" i="7"/>
  <c r="AA47" i="1"/>
  <c r="U47" i="7"/>
  <c r="AA56" i="1"/>
  <c r="U56" i="7"/>
  <c r="U57" i="7"/>
  <c r="U55" i="7"/>
  <c r="U51" i="7"/>
  <c r="U58" i="7"/>
  <c r="U54" i="7"/>
  <c r="U48" i="7"/>
  <c r="U49" i="7"/>
  <c r="C14" i="3"/>
  <c r="X9" i="3"/>
  <c r="Z9" i="3" s="1"/>
  <c r="S61" i="7" l="1"/>
  <c r="U61" i="8" s="1"/>
  <c r="S60" i="7"/>
  <c r="U60" i="8" s="1"/>
  <c r="X61" i="1"/>
  <c r="AG120" i="3" s="1"/>
  <c r="AH120" i="3" s="1"/>
  <c r="X60" i="1"/>
  <c r="AG119" i="3" s="1"/>
  <c r="AH119" i="3" s="1"/>
  <c r="X52" i="1"/>
  <c r="AG108" i="3" s="1"/>
  <c r="AH108" i="3" s="1"/>
  <c r="X45" i="1"/>
  <c r="AG98" i="3" s="1"/>
  <c r="AH98" i="3" s="1"/>
  <c r="X44" i="1"/>
  <c r="AG97" i="3" s="1"/>
  <c r="AH97" i="3" s="1"/>
  <c r="AD52" i="1"/>
  <c r="U52" i="7"/>
  <c r="AA52" i="1"/>
  <c r="AO56" i="17"/>
  <c r="AQ56" i="17" s="1"/>
  <c r="AO50" i="17"/>
  <c r="AQ50" i="17" s="1"/>
  <c r="S45" i="7"/>
  <c r="U45" i="8" s="1"/>
  <c r="AO47" i="17"/>
  <c r="AQ47" i="17" s="1"/>
  <c r="AB9" i="3"/>
  <c r="AD9" i="3" s="1"/>
  <c r="S44" i="7"/>
  <c r="AA57" i="1"/>
  <c r="AA55" i="1"/>
  <c r="AA51" i="1"/>
  <c r="AA58" i="1"/>
  <c r="AA54" i="1"/>
  <c r="AA48" i="1"/>
  <c r="AA49" i="1"/>
  <c r="AD60" i="1"/>
  <c r="AD61" i="1"/>
  <c r="AD45" i="1"/>
  <c r="U44" i="7"/>
  <c r="AD44" i="1"/>
  <c r="U60" i="7"/>
  <c r="AE113" i="3"/>
  <c r="AE101" i="3"/>
  <c r="S61" i="8"/>
  <c r="U61" i="7"/>
  <c r="U57" i="9"/>
  <c r="U58" i="8"/>
  <c r="U57" i="8"/>
  <c r="V57" i="8" s="1"/>
  <c r="V57" i="7"/>
  <c r="U45" i="7"/>
  <c r="V58" i="7"/>
  <c r="S44" i="8"/>
  <c r="S60" i="8"/>
  <c r="S57" i="9"/>
  <c r="S58" i="9"/>
  <c r="S58" i="8"/>
  <c r="S45" i="10"/>
  <c r="S45" i="9"/>
  <c r="S44" i="10"/>
  <c r="V61" i="7" l="1"/>
  <c r="V60" i="7"/>
  <c r="V45" i="7"/>
  <c r="AO52" i="17"/>
  <c r="AQ52" i="17" s="1"/>
  <c r="U44" i="8"/>
  <c r="V44" i="8" s="1"/>
  <c r="U61" i="9"/>
  <c r="V44" i="7"/>
  <c r="S45" i="8"/>
  <c r="S44" i="9"/>
  <c r="AO48" i="17"/>
  <c r="AQ48" i="17" s="1"/>
  <c r="AO55" i="17"/>
  <c r="AQ55" i="17" s="1"/>
  <c r="AO54" i="17"/>
  <c r="AQ54" i="17" s="1"/>
  <c r="AO57" i="17"/>
  <c r="AQ57" i="17" s="1"/>
  <c r="AO49" i="17"/>
  <c r="AQ49" i="17" s="1"/>
  <c r="AO58" i="17"/>
  <c r="AQ58" i="17" s="1"/>
  <c r="AO51" i="17"/>
  <c r="AQ51" i="17" s="1"/>
  <c r="AA45" i="1"/>
  <c r="AA60" i="1"/>
  <c r="AA61" i="1"/>
  <c r="AA44" i="1"/>
  <c r="S61" i="9"/>
  <c r="V61" i="8"/>
  <c r="S61" i="10"/>
  <c r="S57" i="10"/>
  <c r="S53" i="1"/>
  <c r="S60" i="10"/>
  <c r="S60" i="9"/>
  <c r="S58" i="10"/>
  <c r="V60" i="8"/>
  <c r="U57" i="10"/>
  <c r="U45" i="10"/>
  <c r="V45" i="10" s="1"/>
  <c r="U58" i="10"/>
  <c r="U44" i="9"/>
  <c r="U58" i="9"/>
  <c r="V58" i="9" s="1"/>
  <c r="U60" i="9"/>
  <c r="V57" i="9"/>
  <c r="V58" i="8"/>
  <c r="Y114" i="3"/>
  <c r="Y106" i="3"/>
  <c r="Y109" i="3" s="1"/>
  <c r="Y105" i="3"/>
  <c r="Y118" i="3"/>
  <c r="Y121" i="3" s="1"/>
  <c r="Y96" i="3"/>
  <c r="Z14" i="3"/>
  <c r="X53" i="1" l="1"/>
  <c r="AG110" i="3" s="1"/>
  <c r="AH110" i="3" s="1"/>
  <c r="F53" i="17"/>
  <c r="G26" i="18" s="1"/>
  <c r="F26" i="18" s="1"/>
  <c r="U44" i="10"/>
  <c r="V44" i="10" s="1"/>
  <c r="U45" i="9"/>
  <c r="V45" i="9" s="1"/>
  <c r="U61" i="10"/>
  <c r="V61" i="10" s="1"/>
  <c r="V45" i="8"/>
  <c r="V44" i="9"/>
  <c r="AO61" i="17"/>
  <c r="AQ61" i="17" s="1"/>
  <c r="AO60" i="17"/>
  <c r="AQ60" i="17" s="1"/>
  <c r="O62" i="17"/>
  <c r="AO45" i="17"/>
  <c r="AQ45" i="17" s="1"/>
  <c r="M62" i="17"/>
  <c r="M115" i="17" s="1"/>
  <c r="M117" i="17" s="1"/>
  <c r="AO44" i="17"/>
  <c r="AQ44" i="17" s="1"/>
  <c r="AD53" i="1"/>
  <c r="Y99" i="3"/>
  <c r="V61" i="9"/>
  <c r="Y117" i="3"/>
  <c r="V57" i="10"/>
  <c r="AA53" i="1"/>
  <c r="U53" i="7"/>
  <c r="U60" i="10"/>
  <c r="V60" i="10" s="1"/>
  <c r="V60" i="9"/>
  <c r="V58" i="10"/>
  <c r="AA118" i="3"/>
  <c r="AA121" i="3" s="1"/>
  <c r="AA96" i="3"/>
  <c r="AA114" i="3"/>
  <c r="AA106" i="3"/>
  <c r="AA109" i="3" s="1"/>
  <c r="AA105" i="3"/>
  <c r="AD14" i="3"/>
  <c r="AB14" i="3"/>
  <c r="AO53" i="17" l="1"/>
  <c r="AQ53" i="17" s="1"/>
  <c r="Y122" i="3"/>
  <c r="AA99" i="3"/>
  <c r="AA117" i="3"/>
  <c r="S56" i="7"/>
  <c r="AC114" i="3"/>
  <c r="AC106" i="3"/>
  <c r="AC109" i="3" s="1"/>
  <c r="AC105" i="3"/>
  <c r="AE118" i="3"/>
  <c r="AE96" i="3"/>
  <c r="AC118" i="3"/>
  <c r="AC121" i="3" s="1"/>
  <c r="AC96" i="3"/>
  <c r="A3" i="3"/>
  <c r="A3" i="2"/>
  <c r="A1" i="3"/>
  <c r="A1" i="2"/>
  <c r="E62" i="17" l="1"/>
  <c r="AE121" i="3"/>
  <c r="AA122" i="3"/>
  <c r="AC99" i="3"/>
  <c r="AE99" i="3"/>
  <c r="AC117" i="3"/>
  <c r="AE114" i="3"/>
  <c r="AE106" i="3"/>
  <c r="AE109" i="3" s="1"/>
  <c r="AE105" i="3"/>
  <c r="U56" i="8"/>
  <c r="V56" i="7"/>
  <c r="S56" i="8"/>
  <c r="H41" i="2"/>
  <c r="J41" i="2" s="1"/>
  <c r="L41" i="2" s="1"/>
  <c r="N41" i="2" s="1"/>
  <c r="H42" i="2"/>
  <c r="J42" i="2" s="1"/>
  <c r="H43" i="2"/>
  <c r="J43" i="2" s="1"/>
  <c r="L43" i="2" s="1"/>
  <c r="N43" i="2" s="1"/>
  <c r="H44" i="2"/>
  <c r="J44" i="2" s="1"/>
  <c r="L44" i="2" s="1"/>
  <c r="N44" i="2" s="1"/>
  <c r="H40" i="2"/>
  <c r="J40" i="2" s="1"/>
  <c r="L40" i="2" s="1"/>
  <c r="F45" i="2"/>
  <c r="A1" i="1"/>
  <c r="H24" i="2"/>
  <c r="J24" i="2"/>
  <c r="L24" i="2"/>
  <c r="N24" i="2"/>
  <c r="N5" i="7" l="1"/>
  <c r="I5" i="10"/>
  <c r="E5" i="9"/>
  <c r="M5" i="7"/>
  <c r="H5" i="10"/>
  <c r="P5" i="8"/>
  <c r="L5" i="7"/>
  <c r="G5" i="10"/>
  <c r="O5" i="8"/>
  <c r="K5" i="7"/>
  <c r="J5" i="9"/>
  <c r="P5" i="7"/>
  <c r="F5" i="9"/>
  <c r="F5" i="10"/>
  <c r="N5" i="8"/>
  <c r="J5" i="7"/>
  <c r="E5" i="10"/>
  <c r="M5" i="8"/>
  <c r="I5" i="7"/>
  <c r="P5" i="9"/>
  <c r="L5" i="8"/>
  <c r="H5" i="7"/>
  <c r="E5" i="8"/>
  <c r="H5" i="9"/>
  <c r="G5" i="9"/>
  <c r="L5" i="10"/>
  <c r="O5" i="9"/>
  <c r="K5" i="8"/>
  <c r="G5" i="7"/>
  <c r="N5" i="9"/>
  <c r="J5" i="8"/>
  <c r="F5" i="7"/>
  <c r="K5" i="9"/>
  <c r="I5" i="9"/>
  <c r="K5" i="10"/>
  <c r="O5" i="7"/>
  <c r="M5" i="9"/>
  <c r="I5" i="8"/>
  <c r="E5" i="7"/>
  <c r="P5" i="10"/>
  <c r="L5" i="9"/>
  <c r="H5" i="8"/>
  <c r="O5" i="10"/>
  <c r="G5" i="8"/>
  <c r="N5" i="10"/>
  <c r="F5" i="8"/>
  <c r="M5" i="10"/>
  <c r="J5" i="10"/>
  <c r="I10" i="7"/>
  <c r="I10" i="8" s="1"/>
  <c r="I10" i="9" s="1"/>
  <c r="I10" i="10" s="1"/>
  <c r="F8" i="7"/>
  <c r="F8" i="8" s="1"/>
  <c r="F8" i="9" s="1"/>
  <c r="F8" i="10" s="1"/>
  <c r="O9" i="7"/>
  <c r="O9" i="8" s="1"/>
  <c r="O9" i="9" s="1"/>
  <c r="O9" i="10" s="1"/>
  <c r="H9" i="7"/>
  <c r="H9" i="8" s="1"/>
  <c r="H9" i="9" s="1"/>
  <c r="H9" i="10" s="1"/>
  <c r="N9" i="7"/>
  <c r="N9" i="8" s="1"/>
  <c r="N9" i="9" s="1"/>
  <c r="N9" i="10" s="1"/>
  <c r="G9" i="7"/>
  <c r="G9" i="8" s="1"/>
  <c r="G9" i="9" s="1"/>
  <c r="G9" i="10" s="1"/>
  <c r="K10" i="7"/>
  <c r="K10" i="8" s="1"/>
  <c r="K10" i="9" s="1"/>
  <c r="K10" i="10" s="1"/>
  <c r="M8" i="7"/>
  <c r="M8" i="8" s="1"/>
  <c r="M8" i="9" s="1"/>
  <c r="M8" i="10" s="1"/>
  <c r="J10" i="7"/>
  <c r="J10" i="8" s="1"/>
  <c r="J10" i="9" s="1"/>
  <c r="J10" i="10" s="1"/>
  <c r="P5" i="1"/>
  <c r="L42" i="2"/>
  <c r="N42" i="2" s="1"/>
  <c r="AC122" i="3"/>
  <c r="AE117" i="3"/>
  <c r="AE122" i="3" s="1"/>
  <c r="I7" i="6"/>
  <c r="O86" i="17"/>
  <c r="S72" i="17"/>
  <c r="F66" i="17"/>
  <c r="X82" i="17"/>
  <c r="V77" i="17"/>
  <c r="E70" i="17"/>
  <c r="M6" i="6"/>
  <c r="I6" i="6"/>
  <c r="K6" i="6"/>
  <c r="U56" i="9"/>
  <c r="E6" i="6"/>
  <c r="S56" i="9"/>
  <c r="V56" i="8"/>
  <c r="G6" i="6"/>
  <c r="H45" i="2"/>
  <c r="N40" i="2"/>
  <c r="J45" i="2"/>
  <c r="P11" i="1" l="1"/>
  <c r="P11" i="7" s="1"/>
  <c r="P11" i="8" s="1"/>
  <c r="P11" i="9" s="1"/>
  <c r="P11" i="10" s="1"/>
  <c r="P8" i="1"/>
  <c r="L45" i="2"/>
  <c r="L9" i="7"/>
  <c r="L9" i="8" s="1"/>
  <c r="L9" i="9" s="1"/>
  <c r="L9" i="10" s="1"/>
  <c r="N74" i="17"/>
  <c r="E8" i="7"/>
  <c r="E8" i="8" s="1"/>
  <c r="E8" i="9" s="1"/>
  <c r="E8" i="10" s="1"/>
  <c r="Q5" i="1"/>
  <c r="F16" i="7"/>
  <c r="F16" i="8" s="1"/>
  <c r="F16" i="9" s="1"/>
  <c r="F16" i="10" s="1"/>
  <c r="L16" i="7"/>
  <c r="L16" i="8" s="1"/>
  <c r="L16" i="9" s="1"/>
  <c r="L16" i="10" s="1"/>
  <c r="E9" i="7"/>
  <c r="E9" i="8" s="1"/>
  <c r="E9" i="9" s="1"/>
  <c r="E9" i="10" s="1"/>
  <c r="AC91" i="17"/>
  <c r="AC94" i="17" s="1"/>
  <c r="AC115" i="17" s="1"/>
  <c r="AC117" i="17" s="1"/>
  <c r="E91" i="17"/>
  <c r="AA91" i="17"/>
  <c r="AA94" i="17" s="1"/>
  <c r="E10" i="7"/>
  <c r="E10" i="8" s="1"/>
  <c r="E10" i="9" s="1"/>
  <c r="E10" i="10" s="1"/>
  <c r="E11" i="7"/>
  <c r="E11" i="8" s="1"/>
  <c r="E11" i="9" s="1"/>
  <c r="E11" i="10" s="1"/>
  <c r="E12" i="7"/>
  <c r="E12" i="8" s="1"/>
  <c r="E12" i="9" s="1"/>
  <c r="E12" i="10" s="1"/>
  <c r="F92" i="17"/>
  <c r="P70" i="17"/>
  <c r="P74" i="17" s="1"/>
  <c r="P109" i="17"/>
  <c r="AA96" i="17"/>
  <c r="N96" i="17"/>
  <c r="E96" i="17"/>
  <c r="F96" i="17"/>
  <c r="X94" i="17"/>
  <c r="X115" i="17" s="1"/>
  <c r="X117" i="17" s="1"/>
  <c r="O94" i="17"/>
  <c r="O115" i="17" s="1"/>
  <c r="O117" i="17" s="1"/>
  <c r="E78" i="17"/>
  <c r="V78" i="17"/>
  <c r="E76" i="17"/>
  <c r="U76" i="17"/>
  <c r="E79" i="17"/>
  <c r="F79" i="17"/>
  <c r="S74" i="17"/>
  <c r="S115" i="17" s="1"/>
  <c r="S117" i="17" s="1"/>
  <c r="J74" i="17"/>
  <c r="J115" i="17" s="1"/>
  <c r="J117" i="17" s="1"/>
  <c r="N45" i="2"/>
  <c r="E65" i="17"/>
  <c r="AO65" i="17" s="1"/>
  <c r="E77" i="17"/>
  <c r="E99" i="17"/>
  <c r="E102" i="17"/>
  <c r="E90" i="17"/>
  <c r="E66" i="17"/>
  <c r="E86" i="17"/>
  <c r="E101" i="17"/>
  <c r="E71" i="17"/>
  <c r="E87" i="17"/>
  <c r="E97" i="17"/>
  <c r="E82" i="17"/>
  <c r="E72" i="17"/>
  <c r="E108" i="17"/>
  <c r="N12" i="7"/>
  <c r="N12" i="8" s="1"/>
  <c r="N12" i="9" s="1"/>
  <c r="N12" i="10" s="1"/>
  <c r="H26" i="4"/>
  <c r="X26" i="4" s="1"/>
  <c r="H60" i="4"/>
  <c r="X60" i="4" s="1"/>
  <c r="H19" i="4"/>
  <c r="H118" i="4"/>
  <c r="X118" i="4" s="1"/>
  <c r="X95" i="4"/>
  <c r="H83" i="4"/>
  <c r="X83" i="4" s="1"/>
  <c r="H224" i="4"/>
  <c r="H66" i="4"/>
  <c r="G12" i="7"/>
  <c r="G12" i="8" s="1"/>
  <c r="G12" i="9" s="1"/>
  <c r="G12" i="10" s="1"/>
  <c r="G8" i="7"/>
  <c r="G8" i="8" s="1"/>
  <c r="G8" i="9" s="1"/>
  <c r="G8" i="10" s="1"/>
  <c r="G10" i="7"/>
  <c r="G10" i="8" s="1"/>
  <c r="G10" i="9" s="1"/>
  <c r="G10" i="10" s="1"/>
  <c r="K8" i="7"/>
  <c r="K8" i="8" s="1"/>
  <c r="K8" i="9" s="1"/>
  <c r="K8" i="10" s="1"/>
  <c r="G11" i="7"/>
  <c r="G11" i="8" s="1"/>
  <c r="G11" i="9" s="1"/>
  <c r="G11" i="10" s="1"/>
  <c r="P10" i="1"/>
  <c r="I9" i="7"/>
  <c r="I9" i="8" s="1"/>
  <c r="I9" i="9" s="1"/>
  <c r="I9" i="10" s="1"/>
  <c r="N8" i="7"/>
  <c r="N8" i="8" s="1"/>
  <c r="N8" i="9" s="1"/>
  <c r="N8" i="10" s="1"/>
  <c r="N11" i="7"/>
  <c r="N11" i="8" s="1"/>
  <c r="N11" i="9" s="1"/>
  <c r="N11" i="10" s="1"/>
  <c r="P9" i="1"/>
  <c r="O11" i="7"/>
  <c r="O11" i="8" s="1"/>
  <c r="O11" i="9" s="1"/>
  <c r="O11" i="10" s="1"/>
  <c r="F12" i="7"/>
  <c r="F12" i="8" s="1"/>
  <c r="F12" i="9" s="1"/>
  <c r="F12" i="10" s="1"/>
  <c r="F10" i="7"/>
  <c r="F10" i="8" s="1"/>
  <c r="F10" i="9" s="1"/>
  <c r="F10" i="10" s="1"/>
  <c r="F11" i="7"/>
  <c r="F11" i="8" s="1"/>
  <c r="F11" i="9" s="1"/>
  <c r="F11" i="10" s="1"/>
  <c r="P12" i="1"/>
  <c r="F9" i="7"/>
  <c r="F9" i="8" s="1"/>
  <c r="F9" i="9" s="1"/>
  <c r="F9" i="10" s="1"/>
  <c r="O12" i="7"/>
  <c r="O12" i="8" s="1"/>
  <c r="O12" i="9" s="1"/>
  <c r="O12" i="10" s="1"/>
  <c r="I12" i="7"/>
  <c r="I12" i="8" s="1"/>
  <c r="I12" i="9" s="1"/>
  <c r="I12" i="10" s="1"/>
  <c r="I8" i="7"/>
  <c r="I8" i="8" s="1"/>
  <c r="I8" i="9" s="1"/>
  <c r="I8" i="10" s="1"/>
  <c r="I11" i="7"/>
  <c r="I11" i="8" s="1"/>
  <c r="I11" i="9" s="1"/>
  <c r="I11" i="10" s="1"/>
  <c r="K9" i="7"/>
  <c r="K9" i="8" s="1"/>
  <c r="K9" i="9" s="1"/>
  <c r="K9" i="10" s="1"/>
  <c r="N10" i="7"/>
  <c r="N10" i="8" s="1"/>
  <c r="N10" i="9" s="1"/>
  <c r="N10" i="10" s="1"/>
  <c r="K12" i="7"/>
  <c r="K12" i="8" s="1"/>
  <c r="K12" i="9" s="1"/>
  <c r="K12" i="10" s="1"/>
  <c r="H12" i="7"/>
  <c r="H12" i="8" s="1"/>
  <c r="H12" i="9" s="1"/>
  <c r="H12" i="10" s="1"/>
  <c r="K11" i="7"/>
  <c r="K11" i="8" s="1"/>
  <c r="K11" i="9" s="1"/>
  <c r="K11" i="10" s="1"/>
  <c r="H10" i="7"/>
  <c r="H10" i="8" s="1"/>
  <c r="H10" i="9" s="1"/>
  <c r="H10" i="10" s="1"/>
  <c r="Q5" i="7"/>
  <c r="K7" i="6"/>
  <c r="M12" i="7"/>
  <c r="M12" i="8" s="1"/>
  <c r="M12" i="9" s="1"/>
  <c r="M12" i="10" s="1"/>
  <c r="J8" i="7"/>
  <c r="J8" i="8" s="1"/>
  <c r="J8" i="9" s="1"/>
  <c r="J8" i="10" s="1"/>
  <c r="M11" i="7"/>
  <c r="M11" i="8" s="1"/>
  <c r="M11" i="9" s="1"/>
  <c r="M11" i="10" s="1"/>
  <c r="J12" i="7"/>
  <c r="J12" i="8" s="1"/>
  <c r="J12" i="9" s="1"/>
  <c r="J12" i="10" s="1"/>
  <c r="J9" i="7"/>
  <c r="J9" i="8" s="1"/>
  <c r="J9" i="9" s="1"/>
  <c r="J9" i="10" s="1"/>
  <c r="J11" i="7"/>
  <c r="J11" i="8" s="1"/>
  <c r="J11" i="9" s="1"/>
  <c r="J11" i="10" s="1"/>
  <c r="M10" i="7"/>
  <c r="M10" i="8" s="1"/>
  <c r="M10" i="9" s="1"/>
  <c r="M10" i="10" s="1"/>
  <c r="Q5" i="8"/>
  <c r="O10" i="7"/>
  <c r="O10" i="8" s="1"/>
  <c r="O10" i="9" s="1"/>
  <c r="O10" i="10" s="1"/>
  <c r="O8" i="7"/>
  <c r="O8" i="8" s="1"/>
  <c r="O8" i="9" s="1"/>
  <c r="O8" i="10" s="1"/>
  <c r="H8" i="7"/>
  <c r="H8" i="8" s="1"/>
  <c r="H8" i="9" s="1"/>
  <c r="H8" i="10" s="1"/>
  <c r="M9" i="7"/>
  <c r="M9" i="8" s="1"/>
  <c r="M9" i="9" s="1"/>
  <c r="M9" i="10" s="1"/>
  <c r="H11" i="7"/>
  <c r="H11" i="8" s="1"/>
  <c r="H11" i="9" s="1"/>
  <c r="H11" i="10" s="1"/>
  <c r="V56" i="9"/>
  <c r="U56" i="10"/>
  <c r="S56" i="10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X19" i="4" l="1"/>
  <c r="X66" i="4"/>
  <c r="L8" i="7"/>
  <c r="L8" i="8" s="1"/>
  <c r="L8" i="9" s="1"/>
  <c r="L8" i="10" s="1"/>
  <c r="S8" i="1"/>
  <c r="L12" i="7"/>
  <c r="L12" i="8" s="1"/>
  <c r="L12" i="9" s="1"/>
  <c r="L12" i="10" s="1"/>
  <c r="S12" i="1"/>
  <c r="X12" i="1" s="1"/>
  <c r="L10" i="7"/>
  <c r="L10" i="8" s="1"/>
  <c r="L10" i="9" s="1"/>
  <c r="L10" i="10" s="1"/>
  <c r="S10" i="1"/>
  <c r="X10" i="1" s="1"/>
  <c r="L11" i="7"/>
  <c r="L11" i="8" s="1"/>
  <c r="L11" i="9" s="1"/>
  <c r="L11" i="10" s="1"/>
  <c r="S11" i="1"/>
  <c r="X11" i="1" s="1"/>
  <c r="S9" i="1"/>
  <c r="X9" i="1" s="1"/>
  <c r="P8" i="7"/>
  <c r="P8" i="8" s="1"/>
  <c r="P8" i="9" s="1"/>
  <c r="P8" i="10" s="1"/>
  <c r="P12" i="7"/>
  <c r="P12" i="8" s="1"/>
  <c r="P12" i="9" s="1"/>
  <c r="P12" i="10" s="1"/>
  <c r="P9" i="7"/>
  <c r="P9" i="8" s="1"/>
  <c r="P9" i="9" s="1"/>
  <c r="P9" i="10" s="1"/>
  <c r="P10" i="7"/>
  <c r="P10" i="8" s="1"/>
  <c r="P10" i="9" s="1"/>
  <c r="P10" i="10" s="1"/>
  <c r="F99" i="17"/>
  <c r="N79" i="7"/>
  <c r="N79" i="8" s="1"/>
  <c r="N79" i="9" s="1"/>
  <c r="N79" i="10" s="1"/>
  <c r="M79" i="7"/>
  <c r="M79" i="8" s="1"/>
  <c r="M79" i="9" s="1"/>
  <c r="M79" i="10" s="1"/>
  <c r="L79" i="7"/>
  <c r="L79" i="8" s="1"/>
  <c r="L79" i="9" s="1"/>
  <c r="L79" i="10" s="1"/>
  <c r="K79" i="7"/>
  <c r="K79" i="8" s="1"/>
  <c r="K79" i="9" s="1"/>
  <c r="K79" i="10" s="1"/>
  <c r="J79" i="7"/>
  <c r="J79" i="8" s="1"/>
  <c r="J79" i="9" s="1"/>
  <c r="J79" i="10" s="1"/>
  <c r="I79" i="7"/>
  <c r="I79" i="8" s="1"/>
  <c r="I79" i="9" s="1"/>
  <c r="I79" i="10" s="1"/>
  <c r="E79" i="7"/>
  <c r="E79" i="8" s="1"/>
  <c r="E79" i="9" s="1"/>
  <c r="E79" i="10" s="1"/>
  <c r="H79" i="7"/>
  <c r="H79" i="8" s="1"/>
  <c r="H79" i="9" s="1"/>
  <c r="H79" i="10" s="1"/>
  <c r="G79" i="7"/>
  <c r="G79" i="8" s="1"/>
  <c r="G79" i="9" s="1"/>
  <c r="G79" i="10" s="1"/>
  <c r="F79" i="7"/>
  <c r="F79" i="8" s="1"/>
  <c r="F79" i="9" s="1"/>
  <c r="F79" i="10" s="1"/>
  <c r="O79" i="7"/>
  <c r="O79" i="8" s="1"/>
  <c r="O79" i="9" s="1"/>
  <c r="O79" i="10" s="1"/>
  <c r="O65" i="7"/>
  <c r="O65" i="8" s="1"/>
  <c r="O65" i="9" s="1"/>
  <c r="O65" i="10" s="1"/>
  <c r="N65" i="7"/>
  <c r="N65" i="8" s="1"/>
  <c r="N65" i="9" s="1"/>
  <c r="N65" i="10" s="1"/>
  <c r="M65" i="7"/>
  <c r="M65" i="8" s="1"/>
  <c r="M65" i="9" s="1"/>
  <c r="M65" i="10" s="1"/>
  <c r="L65" i="7"/>
  <c r="L65" i="8" s="1"/>
  <c r="L65" i="9" s="1"/>
  <c r="L65" i="10" s="1"/>
  <c r="K65" i="7"/>
  <c r="K65" i="8" s="1"/>
  <c r="K65" i="9" s="1"/>
  <c r="K65" i="10" s="1"/>
  <c r="E65" i="7"/>
  <c r="E65" i="8" s="1"/>
  <c r="E65" i="9" s="1"/>
  <c r="E65" i="10" s="1"/>
  <c r="J65" i="7"/>
  <c r="J65" i="8" s="1"/>
  <c r="J65" i="9" s="1"/>
  <c r="J65" i="10" s="1"/>
  <c r="I65" i="7"/>
  <c r="I65" i="8" s="1"/>
  <c r="I65" i="9" s="1"/>
  <c r="I65" i="10" s="1"/>
  <c r="H65" i="7"/>
  <c r="H65" i="8" s="1"/>
  <c r="H65" i="9" s="1"/>
  <c r="H65" i="10" s="1"/>
  <c r="G65" i="7"/>
  <c r="G65" i="8" s="1"/>
  <c r="G65" i="9" s="1"/>
  <c r="G65" i="10" s="1"/>
  <c r="O66" i="7"/>
  <c r="O66" i="8" s="1"/>
  <c r="O66" i="9" s="1"/>
  <c r="O66" i="10" s="1"/>
  <c r="N66" i="7"/>
  <c r="N66" i="8" s="1"/>
  <c r="N66" i="9" s="1"/>
  <c r="N66" i="10" s="1"/>
  <c r="M66" i="7"/>
  <c r="M66" i="8" s="1"/>
  <c r="M66" i="9" s="1"/>
  <c r="M66" i="10" s="1"/>
  <c r="E66" i="7"/>
  <c r="E66" i="8" s="1"/>
  <c r="E66" i="9" s="1"/>
  <c r="E66" i="10" s="1"/>
  <c r="K66" i="7"/>
  <c r="K66" i="8" s="1"/>
  <c r="K66" i="9" s="1"/>
  <c r="K66" i="10" s="1"/>
  <c r="J66" i="7"/>
  <c r="J66" i="8" s="1"/>
  <c r="J66" i="9" s="1"/>
  <c r="J66" i="10" s="1"/>
  <c r="I66" i="7"/>
  <c r="I66" i="8" s="1"/>
  <c r="I66" i="9" s="1"/>
  <c r="I66" i="10" s="1"/>
  <c r="H66" i="7"/>
  <c r="H66" i="8" s="1"/>
  <c r="H66" i="9" s="1"/>
  <c r="H66" i="10" s="1"/>
  <c r="G66" i="7"/>
  <c r="G66" i="8" s="1"/>
  <c r="G66" i="9" s="1"/>
  <c r="G66" i="10" s="1"/>
  <c r="F66" i="7"/>
  <c r="F66" i="8" s="1"/>
  <c r="F66" i="9" s="1"/>
  <c r="F66" i="10" s="1"/>
  <c r="F102" i="7"/>
  <c r="F102" i="8" s="1"/>
  <c r="F102" i="9" s="1"/>
  <c r="F102" i="10" s="1"/>
  <c r="E102" i="7"/>
  <c r="E102" i="8" s="1"/>
  <c r="E102" i="9" s="1"/>
  <c r="E102" i="10" s="1"/>
  <c r="H102" i="7"/>
  <c r="H102" i="8" s="1"/>
  <c r="H102" i="9" s="1"/>
  <c r="H102" i="10" s="1"/>
  <c r="O102" i="7"/>
  <c r="O102" i="8" s="1"/>
  <c r="O102" i="9" s="1"/>
  <c r="O102" i="10" s="1"/>
  <c r="N102" i="7"/>
  <c r="N102" i="8" s="1"/>
  <c r="N102" i="9" s="1"/>
  <c r="N102" i="10" s="1"/>
  <c r="M102" i="7"/>
  <c r="M102" i="8" s="1"/>
  <c r="M102" i="9" s="1"/>
  <c r="M102" i="10" s="1"/>
  <c r="L102" i="7"/>
  <c r="L102" i="8" s="1"/>
  <c r="L102" i="9" s="1"/>
  <c r="L102" i="10" s="1"/>
  <c r="G102" i="7"/>
  <c r="G102" i="8" s="1"/>
  <c r="G102" i="9" s="1"/>
  <c r="G102" i="10" s="1"/>
  <c r="K102" i="7"/>
  <c r="K102" i="8" s="1"/>
  <c r="K102" i="9" s="1"/>
  <c r="K102" i="10" s="1"/>
  <c r="J102" i="7"/>
  <c r="J102" i="8" s="1"/>
  <c r="J102" i="9" s="1"/>
  <c r="J102" i="10" s="1"/>
  <c r="I102" i="7"/>
  <c r="I102" i="8" s="1"/>
  <c r="I102" i="9" s="1"/>
  <c r="I102" i="10" s="1"/>
  <c r="G86" i="7"/>
  <c r="G86" i="8" s="1"/>
  <c r="G86" i="9" s="1"/>
  <c r="G86" i="10" s="1"/>
  <c r="E86" i="7"/>
  <c r="E86" i="8" s="1"/>
  <c r="E86" i="9" s="1"/>
  <c r="E86" i="10" s="1"/>
  <c r="F86" i="7"/>
  <c r="F86" i="8" s="1"/>
  <c r="F86" i="9" s="1"/>
  <c r="F86" i="10" s="1"/>
  <c r="H86" i="7"/>
  <c r="H86" i="8" s="1"/>
  <c r="H86" i="9" s="1"/>
  <c r="H86" i="10" s="1"/>
  <c r="O86" i="7"/>
  <c r="O86" i="8" s="1"/>
  <c r="O86" i="9" s="1"/>
  <c r="O86" i="10" s="1"/>
  <c r="N86" i="7"/>
  <c r="N86" i="8" s="1"/>
  <c r="N86" i="9" s="1"/>
  <c r="N86" i="10" s="1"/>
  <c r="M86" i="7"/>
  <c r="M86" i="8" s="1"/>
  <c r="M86" i="9" s="1"/>
  <c r="M86" i="10" s="1"/>
  <c r="L86" i="7"/>
  <c r="L86" i="8" s="1"/>
  <c r="L86" i="9" s="1"/>
  <c r="L86" i="10" s="1"/>
  <c r="K86" i="7"/>
  <c r="K86" i="8" s="1"/>
  <c r="K86" i="9" s="1"/>
  <c r="K86" i="10" s="1"/>
  <c r="J86" i="7"/>
  <c r="J86" i="8" s="1"/>
  <c r="J86" i="9" s="1"/>
  <c r="J86" i="10" s="1"/>
  <c r="I86" i="7"/>
  <c r="I86" i="8" s="1"/>
  <c r="I86" i="9" s="1"/>
  <c r="I86" i="10" s="1"/>
  <c r="H71" i="7"/>
  <c r="H71" i="8" s="1"/>
  <c r="H71" i="9" s="1"/>
  <c r="H71" i="10" s="1"/>
  <c r="G71" i="7"/>
  <c r="G71" i="8" s="1"/>
  <c r="G71" i="9" s="1"/>
  <c r="G71" i="10" s="1"/>
  <c r="J71" i="7"/>
  <c r="J71" i="8" s="1"/>
  <c r="J71" i="9" s="1"/>
  <c r="J71" i="10" s="1"/>
  <c r="F71" i="7"/>
  <c r="F71" i="8" s="1"/>
  <c r="F71" i="9" s="1"/>
  <c r="F71" i="10" s="1"/>
  <c r="O71" i="7"/>
  <c r="O71" i="8" s="1"/>
  <c r="O71" i="9" s="1"/>
  <c r="O71" i="10" s="1"/>
  <c r="E71" i="7"/>
  <c r="E71" i="8" s="1"/>
  <c r="E71" i="9" s="1"/>
  <c r="E71" i="10" s="1"/>
  <c r="N71" i="7"/>
  <c r="N71" i="8" s="1"/>
  <c r="N71" i="9" s="1"/>
  <c r="N71" i="10" s="1"/>
  <c r="M71" i="7"/>
  <c r="M71" i="8" s="1"/>
  <c r="M71" i="9" s="1"/>
  <c r="M71" i="10" s="1"/>
  <c r="L71" i="7"/>
  <c r="L71" i="8" s="1"/>
  <c r="L71" i="9" s="1"/>
  <c r="L71" i="10" s="1"/>
  <c r="I71" i="7"/>
  <c r="I71" i="8" s="1"/>
  <c r="I71" i="9" s="1"/>
  <c r="I71" i="10" s="1"/>
  <c r="K71" i="7"/>
  <c r="K71" i="8" s="1"/>
  <c r="K71" i="9" s="1"/>
  <c r="K71" i="10" s="1"/>
  <c r="F108" i="7"/>
  <c r="F108" i="8" s="1"/>
  <c r="F108" i="9" s="1"/>
  <c r="F108" i="10" s="1"/>
  <c r="G108" i="8"/>
  <c r="G108" i="9" s="1"/>
  <c r="G108" i="10" s="1"/>
  <c r="O108" i="7"/>
  <c r="O108" i="8" s="1"/>
  <c r="O108" i="9" s="1"/>
  <c r="O108" i="10" s="1"/>
  <c r="H108" i="8"/>
  <c r="H108" i="9" s="1"/>
  <c r="H108" i="10" s="1"/>
  <c r="N108" i="7"/>
  <c r="N108" i="8" s="1"/>
  <c r="N108" i="9" s="1"/>
  <c r="N108" i="10" s="1"/>
  <c r="M108" i="7"/>
  <c r="M108" i="8" s="1"/>
  <c r="M108" i="9" s="1"/>
  <c r="M108" i="10" s="1"/>
  <c r="L108" i="7"/>
  <c r="L108" i="8" s="1"/>
  <c r="L108" i="9" s="1"/>
  <c r="L108" i="10" s="1"/>
  <c r="K108" i="7"/>
  <c r="K108" i="8" s="1"/>
  <c r="K108" i="9" s="1"/>
  <c r="K108" i="10" s="1"/>
  <c r="J108" i="7"/>
  <c r="J108" i="8" s="1"/>
  <c r="J108" i="9" s="1"/>
  <c r="J108" i="10" s="1"/>
  <c r="E108" i="7"/>
  <c r="E108" i="8" s="1"/>
  <c r="E108" i="9" s="1"/>
  <c r="E108" i="10" s="1"/>
  <c r="O82" i="7"/>
  <c r="O82" i="8" s="1"/>
  <c r="O82" i="9" s="1"/>
  <c r="O82" i="10" s="1"/>
  <c r="N82" i="7"/>
  <c r="N82" i="8" s="1"/>
  <c r="N82" i="9" s="1"/>
  <c r="N82" i="10" s="1"/>
  <c r="M82" i="7"/>
  <c r="M82" i="8" s="1"/>
  <c r="M82" i="9" s="1"/>
  <c r="M82" i="10" s="1"/>
  <c r="L82" i="7"/>
  <c r="L82" i="8" s="1"/>
  <c r="L82" i="9" s="1"/>
  <c r="L82" i="10" s="1"/>
  <c r="K82" i="7"/>
  <c r="K82" i="8" s="1"/>
  <c r="K82" i="9" s="1"/>
  <c r="K82" i="10" s="1"/>
  <c r="E82" i="7"/>
  <c r="E82" i="8" s="1"/>
  <c r="E82" i="9" s="1"/>
  <c r="E82" i="10" s="1"/>
  <c r="J82" i="7"/>
  <c r="J82" i="8" s="1"/>
  <c r="J82" i="9" s="1"/>
  <c r="J82" i="10" s="1"/>
  <c r="I82" i="7"/>
  <c r="I82" i="8" s="1"/>
  <c r="I82" i="9" s="1"/>
  <c r="I82" i="10" s="1"/>
  <c r="H82" i="7"/>
  <c r="H82" i="8" s="1"/>
  <c r="H82" i="9" s="1"/>
  <c r="H82" i="10" s="1"/>
  <c r="G82" i="7"/>
  <c r="G82" i="8" s="1"/>
  <c r="G82" i="9" s="1"/>
  <c r="G82" i="10" s="1"/>
  <c r="F82" i="7"/>
  <c r="F82" i="8" s="1"/>
  <c r="F82" i="9" s="1"/>
  <c r="F82" i="10" s="1"/>
  <c r="I72" i="7"/>
  <c r="I72" i="8" s="1"/>
  <c r="I72" i="9" s="1"/>
  <c r="I72" i="10" s="1"/>
  <c r="E72" i="7"/>
  <c r="E72" i="8" s="1"/>
  <c r="E72" i="9" s="1"/>
  <c r="E72" i="10" s="1"/>
  <c r="H72" i="7"/>
  <c r="H72" i="8" s="1"/>
  <c r="H72" i="9" s="1"/>
  <c r="H72" i="10" s="1"/>
  <c r="G72" i="7"/>
  <c r="G72" i="8" s="1"/>
  <c r="G72" i="9" s="1"/>
  <c r="G72" i="10" s="1"/>
  <c r="F72" i="7"/>
  <c r="F72" i="8" s="1"/>
  <c r="F72" i="9" s="1"/>
  <c r="F72" i="10" s="1"/>
  <c r="K72" i="7"/>
  <c r="K72" i="8" s="1"/>
  <c r="K72" i="9" s="1"/>
  <c r="K72" i="10" s="1"/>
  <c r="J72" i="7"/>
  <c r="J72" i="8" s="1"/>
  <c r="J72" i="9" s="1"/>
  <c r="J72" i="10" s="1"/>
  <c r="O72" i="7"/>
  <c r="O72" i="8" s="1"/>
  <c r="O72" i="9" s="1"/>
  <c r="O72" i="10" s="1"/>
  <c r="N72" i="7"/>
  <c r="N72" i="8" s="1"/>
  <c r="N72" i="9" s="1"/>
  <c r="N72" i="10" s="1"/>
  <c r="M72" i="7"/>
  <c r="M72" i="8" s="1"/>
  <c r="M72" i="9" s="1"/>
  <c r="M72" i="10" s="1"/>
  <c r="L72" i="7"/>
  <c r="L72" i="8" s="1"/>
  <c r="L72" i="9" s="1"/>
  <c r="L72" i="10" s="1"/>
  <c r="O97" i="7"/>
  <c r="O97" i="8" s="1"/>
  <c r="O97" i="9" s="1"/>
  <c r="O97" i="10" s="1"/>
  <c r="N97" i="7"/>
  <c r="N97" i="8" s="1"/>
  <c r="N97" i="9" s="1"/>
  <c r="N97" i="10" s="1"/>
  <c r="M97" i="7"/>
  <c r="M97" i="8" s="1"/>
  <c r="M97" i="9" s="1"/>
  <c r="M97" i="10" s="1"/>
  <c r="L97" i="7"/>
  <c r="L97" i="8" s="1"/>
  <c r="L97" i="9" s="1"/>
  <c r="L97" i="10" s="1"/>
  <c r="K97" i="7"/>
  <c r="K97" i="8" s="1"/>
  <c r="K97" i="9" s="1"/>
  <c r="K97" i="10" s="1"/>
  <c r="E97" i="7"/>
  <c r="E97" i="8" s="1"/>
  <c r="E97" i="9" s="1"/>
  <c r="E97" i="10" s="1"/>
  <c r="J97" i="7"/>
  <c r="J97" i="8" s="1"/>
  <c r="J97" i="9" s="1"/>
  <c r="J97" i="10" s="1"/>
  <c r="I97" i="7"/>
  <c r="I97" i="8" s="1"/>
  <c r="I97" i="9" s="1"/>
  <c r="I97" i="10" s="1"/>
  <c r="H97" i="7"/>
  <c r="H97" i="8" s="1"/>
  <c r="H97" i="9" s="1"/>
  <c r="H97" i="10" s="1"/>
  <c r="G97" i="7"/>
  <c r="G97" i="8" s="1"/>
  <c r="G97" i="9" s="1"/>
  <c r="G97" i="10" s="1"/>
  <c r="F97" i="7"/>
  <c r="F97" i="8" s="1"/>
  <c r="F97" i="9" s="1"/>
  <c r="F97" i="10" s="1"/>
  <c r="N96" i="7"/>
  <c r="N96" i="8" s="1"/>
  <c r="N96" i="9" s="1"/>
  <c r="N96" i="10" s="1"/>
  <c r="M96" i="7"/>
  <c r="M96" i="8" s="1"/>
  <c r="M96" i="9" s="1"/>
  <c r="M96" i="10" s="1"/>
  <c r="L96" i="7"/>
  <c r="L96" i="8" s="1"/>
  <c r="L96" i="9" s="1"/>
  <c r="L96" i="10" s="1"/>
  <c r="K96" i="7"/>
  <c r="K96" i="8" s="1"/>
  <c r="K96" i="9" s="1"/>
  <c r="K96" i="10" s="1"/>
  <c r="J96" i="7"/>
  <c r="J96" i="8" s="1"/>
  <c r="J96" i="9" s="1"/>
  <c r="J96" i="10" s="1"/>
  <c r="I96" i="7"/>
  <c r="I96" i="8" s="1"/>
  <c r="I96" i="9" s="1"/>
  <c r="I96" i="10" s="1"/>
  <c r="E96" i="7"/>
  <c r="E96" i="8" s="1"/>
  <c r="E96" i="9" s="1"/>
  <c r="E96" i="10" s="1"/>
  <c r="H96" i="7"/>
  <c r="H96" i="8" s="1"/>
  <c r="H96" i="9" s="1"/>
  <c r="H96" i="10" s="1"/>
  <c r="G96" i="7"/>
  <c r="G96" i="8" s="1"/>
  <c r="G96" i="9" s="1"/>
  <c r="G96" i="10" s="1"/>
  <c r="F96" i="7"/>
  <c r="F96" i="8" s="1"/>
  <c r="F96" i="9" s="1"/>
  <c r="F96" i="10" s="1"/>
  <c r="O96" i="7"/>
  <c r="O96" i="8" s="1"/>
  <c r="O96" i="9" s="1"/>
  <c r="O96" i="10" s="1"/>
  <c r="H87" i="7"/>
  <c r="H87" i="8" s="1"/>
  <c r="H87" i="9" s="1"/>
  <c r="H87" i="10" s="1"/>
  <c r="G87" i="7"/>
  <c r="G87" i="8" s="1"/>
  <c r="G87" i="9" s="1"/>
  <c r="G87" i="10" s="1"/>
  <c r="F87" i="7"/>
  <c r="F87" i="8" s="1"/>
  <c r="F87" i="9" s="1"/>
  <c r="F87" i="10" s="1"/>
  <c r="J87" i="7"/>
  <c r="J87" i="8" s="1"/>
  <c r="J87" i="9" s="1"/>
  <c r="J87" i="10" s="1"/>
  <c r="O87" i="7"/>
  <c r="O87" i="8" s="1"/>
  <c r="O87" i="9" s="1"/>
  <c r="O87" i="10" s="1"/>
  <c r="I87" i="7"/>
  <c r="I87" i="8" s="1"/>
  <c r="I87" i="9" s="1"/>
  <c r="I87" i="10" s="1"/>
  <c r="N87" i="7"/>
  <c r="N87" i="8" s="1"/>
  <c r="N87" i="9" s="1"/>
  <c r="N87" i="10" s="1"/>
  <c r="M87" i="7"/>
  <c r="M87" i="8" s="1"/>
  <c r="M87" i="9" s="1"/>
  <c r="M87" i="10" s="1"/>
  <c r="L87" i="7"/>
  <c r="L87" i="8" s="1"/>
  <c r="L87" i="9" s="1"/>
  <c r="L87" i="10" s="1"/>
  <c r="K87" i="7"/>
  <c r="K87" i="8" s="1"/>
  <c r="K87" i="9" s="1"/>
  <c r="K87" i="10" s="1"/>
  <c r="E87" i="7"/>
  <c r="E87" i="8" s="1"/>
  <c r="E87" i="9" s="1"/>
  <c r="E87" i="10" s="1"/>
  <c r="K76" i="7"/>
  <c r="K76" i="8" s="1"/>
  <c r="K76" i="9" s="1"/>
  <c r="K76" i="10" s="1"/>
  <c r="J76" i="7"/>
  <c r="J76" i="8" s="1"/>
  <c r="J76" i="9" s="1"/>
  <c r="J76" i="10" s="1"/>
  <c r="I76" i="7"/>
  <c r="I76" i="8" s="1"/>
  <c r="I76" i="9" s="1"/>
  <c r="I76" i="10" s="1"/>
  <c r="H76" i="7"/>
  <c r="H76" i="8" s="1"/>
  <c r="H76" i="9" s="1"/>
  <c r="H76" i="10" s="1"/>
  <c r="G76" i="7"/>
  <c r="G76" i="8" s="1"/>
  <c r="G76" i="9" s="1"/>
  <c r="G76" i="10" s="1"/>
  <c r="F76" i="7"/>
  <c r="F76" i="8" s="1"/>
  <c r="F76" i="9" s="1"/>
  <c r="F76" i="10" s="1"/>
  <c r="M76" i="7"/>
  <c r="M76" i="8" s="1"/>
  <c r="M76" i="9" s="1"/>
  <c r="M76" i="10" s="1"/>
  <c r="L76" i="7"/>
  <c r="L76" i="8" s="1"/>
  <c r="L76" i="9" s="1"/>
  <c r="L76" i="10" s="1"/>
  <c r="O76" i="7"/>
  <c r="O76" i="8" s="1"/>
  <c r="O76" i="9" s="1"/>
  <c r="O76" i="10" s="1"/>
  <c r="E76" i="7"/>
  <c r="E76" i="8" s="1"/>
  <c r="E76" i="9" s="1"/>
  <c r="E76" i="10" s="1"/>
  <c r="N76" i="7"/>
  <c r="N76" i="8" s="1"/>
  <c r="N76" i="9" s="1"/>
  <c r="N76" i="10" s="1"/>
  <c r="O101" i="7"/>
  <c r="O101" i="8" s="1"/>
  <c r="O101" i="9" s="1"/>
  <c r="O101" i="10" s="1"/>
  <c r="E101" i="7"/>
  <c r="E101" i="8" s="1"/>
  <c r="E101" i="9" s="1"/>
  <c r="E101" i="10" s="1"/>
  <c r="N101" i="7"/>
  <c r="N101" i="8" s="1"/>
  <c r="N101" i="9" s="1"/>
  <c r="N101" i="10" s="1"/>
  <c r="F101" i="7"/>
  <c r="F101" i="8" s="1"/>
  <c r="F101" i="9" s="1"/>
  <c r="F101" i="10" s="1"/>
  <c r="M101" i="7"/>
  <c r="M101" i="8" s="1"/>
  <c r="M101" i="9" s="1"/>
  <c r="M101" i="10" s="1"/>
  <c r="L101" i="7"/>
  <c r="L101" i="8" s="1"/>
  <c r="L101" i="9" s="1"/>
  <c r="L101" i="10" s="1"/>
  <c r="K101" i="7"/>
  <c r="K101" i="8" s="1"/>
  <c r="K101" i="9" s="1"/>
  <c r="K101" i="10" s="1"/>
  <c r="J101" i="7"/>
  <c r="J101" i="8" s="1"/>
  <c r="J101" i="9" s="1"/>
  <c r="J101" i="10" s="1"/>
  <c r="G101" i="7"/>
  <c r="G101" i="8" s="1"/>
  <c r="G101" i="9" s="1"/>
  <c r="G101" i="10" s="1"/>
  <c r="I101" i="7"/>
  <c r="I101" i="8" s="1"/>
  <c r="I101" i="9" s="1"/>
  <c r="I101" i="10" s="1"/>
  <c r="H101" i="7"/>
  <c r="H101" i="8" s="1"/>
  <c r="H101" i="9" s="1"/>
  <c r="H101" i="10" s="1"/>
  <c r="L17" i="1"/>
  <c r="F17" i="1"/>
  <c r="L77" i="7"/>
  <c r="L77" i="8" s="1"/>
  <c r="L77" i="9" s="1"/>
  <c r="L77" i="10" s="1"/>
  <c r="K77" i="7"/>
  <c r="K77" i="8" s="1"/>
  <c r="K77" i="9" s="1"/>
  <c r="K77" i="10" s="1"/>
  <c r="J77" i="7"/>
  <c r="J77" i="8" s="1"/>
  <c r="J77" i="9" s="1"/>
  <c r="J77" i="10" s="1"/>
  <c r="I77" i="7"/>
  <c r="I77" i="8" s="1"/>
  <c r="I77" i="9" s="1"/>
  <c r="I77" i="10" s="1"/>
  <c r="M77" i="7"/>
  <c r="M77" i="8" s="1"/>
  <c r="M77" i="9" s="1"/>
  <c r="M77" i="10" s="1"/>
  <c r="H77" i="7"/>
  <c r="H77" i="8" s="1"/>
  <c r="H77" i="9" s="1"/>
  <c r="H77" i="10" s="1"/>
  <c r="G77" i="7"/>
  <c r="G77" i="8" s="1"/>
  <c r="G77" i="9" s="1"/>
  <c r="G77" i="10" s="1"/>
  <c r="F77" i="7"/>
  <c r="F77" i="8" s="1"/>
  <c r="F77" i="9" s="1"/>
  <c r="F77" i="10" s="1"/>
  <c r="E77" i="7"/>
  <c r="E77" i="8" s="1"/>
  <c r="E77" i="9" s="1"/>
  <c r="E77" i="10" s="1"/>
  <c r="N77" i="7"/>
  <c r="N77" i="8" s="1"/>
  <c r="N77" i="9" s="1"/>
  <c r="N77" i="10" s="1"/>
  <c r="O77" i="7"/>
  <c r="O77" i="8" s="1"/>
  <c r="O77" i="9" s="1"/>
  <c r="O77" i="10" s="1"/>
  <c r="K90" i="7"/>
  <c r="K90" i="8" s="1"/>
  <c r="K90" i="9" s="1"/>
  <c r="K90" i="10" s="1"/>
  <c r="M90" i="7"/>
  <c r="M90" i="8" s="1"/>
  <c r="M90" i="9" s="1"/>
  <c r="M90" i="10" s="1"/>
  <c r="J90" i="7"/>
  <c r="J90" i="8" s="1"/>
  <c r="J90" i="9" s="1"/>
  <c r="J90" i="10" s="1"/>
  <c r="I90" i="7"/>
  <c r="I90" i="8" s="1"/>
  <c r="I90" i="9" s="1"/>
  <c r="I90" i="10" s="1"/>
  <c r="H90" i="7"/>
  <c r="H90" i="8" s="1"/>
  <c r="H90" i="9" s="1"/>
  <c r="H90" i="10" s="1"/>
  <c r="G90" i="7"/>
  <c r="G90" i="8" s="1"/>
  <c r="G90" i="9" s="1"/>
  <c r="G90" i="10" s="1"/>
  <c r="F90" i="7"/>
  <c r="F90" i="8" s="1"/>
  <c r="F90" i="9" s="1"/>
  <c r="F90" i="10" s="1"/>
  <c r="O90" i="7"/>
  <c r="O90" i="8" s="1"/>
  <c r="O90" i="9" s="1"/>
  <c r="O90" i="10" s="1"/>
  <c r="E90" i="7"/>
  <c r="E90" i="8" s="1"/>
  <c r="E90" i="9" s="1"/>
  <c r="E90" i="10" s="1"/>
  <c r="L90" i="7"/>
  <c r="L90" i="8" s="1"/>
  <c r="L90" i="9" s="1"/>
  <c r="L90" i="10" s="1"/>
  <c r="N90" i="7"/>
  <c r="N90" i="8" s="1"/>
  <c r="N90" i="9" s="1"/>
  <c r="N90" i="10" s="1"/>
  <c r="F100" i="17"/>
  <c r="J17" i="1"/>
  <c r="P17" i="1"/>
  <c r="E13" i="7"/>
  <c r="AO91" i="17"/>
  <c r="E13" i="8"/>
  <c r="X54" i="4"/>
  <c r="P115" i="17"/>
  <c r="P117" i="17" s="1"/>
  <c r="S68" i="1"/>
  <c r="K122" i="1"/>
  <c r="E122" i="1"/>
  <c r="S112" i="1"/>
  <c r="X112" i="1" s="1"/>
  <c r="N122" i="1"/>
  <c r="L122" i="1"/>
  <c r="P122" i="1"/>
  <c r="O122" i="1"/>
  <c r="F122" i="1"/>
  <c r="I122" i="1"/>
  <c r="H122" i="1"/>
  <c r="G122" i="1"/>
  <c r="S111" i="1"/>
  <c r="X111" i="1" s="1"/>
  <c r="M122" i="1"/>
  <c r="F94" i="17"/>
  <c r="AO92" i="17"/>
  <c r="P113" i="1"/>
  <c r="J122" i="1"/>
  <c r="AA103" i="17"/>
  <c r="AA115" i="17" s="1"/>
  <c r="AA117" i="17" s="1"/>
  <c r="Z193" i="4"/>
  <c r="Z279" i="4"/>
  <c r="Z126" i="4"/>
  <c r="Z166" i="4"/>
  <c r="Z270" i="4"/>
  <c r="Z83" i="4"/>
  <c r="Z224" i="4"/>
  <c r="Z160" i="4"/>
  <c r="Z185" i="4"/>
  <c r="Z66" i="4"/>
  <c r="N103" i="17"/>
  <c r="AO78" i="17"/>
  <c r="AO96" i="17"/>
  <c r="V80" i="17"/>
  <c r="V115" i="17" s="1"/>
  <c r="V117" i="17" s="1"/>
  <c r="AO76" i="17"/>
  <c r="U80" i="17"/>
  <c r="U115" i="17" s="1"/>
  <c r="U117" i="17" s="1"/>
  <c r="AO79" i="17"/>
  <c r="F80" i="17"/>
  <c r="AO102" i="17"/>
  <c r="AO101" i="17"/>
  <c r="AO97" i="17"/>
  <c r="AO90" i="17"/>
  <c r="AO87" i="17"/>
  <c r="AO86" i="17"/>
  <c r="AO82" i="17"/>
  <c r="S98" i="1"/>
  <c r="AO77" i="17"/>
  <c r="AO72" i="17"/>
  <c r="AO71" i="17"/>
  <c r="AO66" i="17"/>
  <c r="J13" i="7"/>
  <c r="E80" i="17"/>
  <c r="Z60" i="4"/>
  <c r="E103" i="17"/>
  <c r="S83" i="1"/>
  <c r="E94" i="17"/>
  <c r="E109" i="17"/>
  <c r="AO108" i="17"/>
  <c r="AO109" i="17" s="1"/>
  <c r="AO70" i="17"/>
  <c r="Z299" i="4"/>
  <c r="Z95" i="4"/>
  <c r="Z118" i="4"/>
  <c r="Z26" i="4"/>
  <c r="Z233" i="4"/>
  <c r="Z19" i="4"/>
  <c r="I13" i="7"/>
  <c r="G27" i="1"/>
  <c r="N13" i="8"/>
  <c r="O13" i="7"/>
  <c r="J13" i="8"/>
  <c r="H13" i="8"/>
  <c r="P13" i="1"/>
  <c r="F13" i="8"/>
  <c r="G13" i="8"/>
  <c r="H13" i="7"/>
  <c r="K13" i="7"/>
  <c r="N13" i="7"/>
  <c r="I13" i="8"/>
  <c r="M13" i="8"/>
  <c r="N25" i="8"/>
  <c r="F25" i="8"/>
  <c r="I25" i="8"/>
  <c r="K25" i="8"/>
  <c r="G31" i="6"/>
  <c r="P25" i="8"/>
  <c r="O25" i="8"/>
  <c r="H25" i="8"/>
  <c r="M25" i="8"/>
  <c r="G25" i="8"/>
  <c r="J25" i="8"/>
  <c r="L25" i="8"/>
  <c r="O13" i="8"/>
  <c r="F13" i="7"/>
  <c r="N27" i="1"/>
  <c r="E13" i="9"/>
  <c r="H27" i="1"/>
  <c r="G13" i="7"/>
  <c r="M13" i="9"/>
  <c r="M13" i="7"/>
  <c r="K13" i="8"/>
  <c r="F13" i="9"/>
  <c r="J13" i="9"/>
  <c r="Q5" i="9"/>
  <c r="M7" i="6"/>
  <c r="S67" i="1"/>
  <c r="V56" i="10"/>
  <c r="Z54" i="4" l="1"/>
  <c r="U13" i="1"/>
  <c r="E14" i="11" s="1"/>
  <c r="U113" i="1"/>
  <c r="E30" i="11" s="1"/>
  <c r="X113" i="1"/>
  <c r="L13" i="8"/>
  <c r="L13" i="7"/>
  <c r="P13" i="8"/>
  <c r="P13" i="7"/>
  <c r="X68" i="1"/>
  <c r="X83" i="1"/>
  <c r="X67" i="1"/>
  <c r="X98" i="1"/>
  <c r="X8" i="1"/>
  <c r="X13" i="1" s="1"/>
  <c r="S13" i="1"/>
  <c r="J14" i="11" s="1"/>
  <c r="K14" i="11" s="1"/>
  <c r="AA8" i="1"/>
  <c r="P87" i="7"/>
  <c r="P87" i="8" s="1"/>
  <c r="P87" i="9" s="1"/>
  <c r="P87" i="10" s="1"/>
  <c r="P97" i="7"/>
  <c r="P97" i="8" s="1"/>
  <c r="P97" i="9" s="1"/>
  <c r="P97" i="10" s="1"/>
  <c r="P76" i="7"/>
  <c r="P76" i="8" s="1"/>
  <c r="P76" i="9" s="1"/>
  <c r="P76" i="10" s="1"/>
  <c r="X76" i="1"/>
  <c r="P102" i="7"/>
  <c r="P102" i="8" s="1"/>
  <c r="P102" i="9" s="1"/>
  <c r="P102" i="10" s="1"/>
  <c r="P72" i="7"/>
  <c r="P72" i="8" s="1"/>
  <c r="P72" i="9" s="1"/>
  <c r="P72" i="10" s="1"/>
  <c r="P90" i="7"/>
  <c r="P90" i="8" s="1"/>
  <c r="P90" i="9" s="1"/>
  <c r="P90" i="10" s="1"/>
  <c r="P86" i="7"/>
  <c r="P86" i="8" s="1"/>
  <c r="P86" i="9" s="1"/>
  <c r="P86" i="10" s="1"/>
  <c r="P96" i="7"/>
  <c r="P96" i="8" s="1"/>
  <c r="P96" i="9" s="1"/>
  <c r="P96" i="10" s="1"/>
  <c r="P71" i="7"/>
  <c r="P71" i="8" s="1"/>
  <c r="P71" i="9" s="1"/>
  <c r="P71" i="10" s="1"/>
  <c r="P82" i="7"/>
  <c r="P82" i="8" s="1"/>
  <c r="P82" i="9" s="1"/>
  <c r="P82" i="10" s="1"/>
  <c r="P101" i="7"/>
  <c r="P101" i="8" s="1"/>
  <c r="P101" i="9" s="1"/>
  <c r="P101" i="10" s="1"/>
  <c r="P66" i="7"/>
  <c r="P66" i="8" s="1"/>
  <c r="P66" i="9" s="1"/>
  <c r="P66" i="10" s="1"/>
  <c r="P77" i="7"/>
  <c r="P77" i="8" s="1"/>
  <c r="P77" i="9" s="1"/>
  <c r="P77" i="10" s="1"/>
  <c r="P108" i="7"/>
  <c r="P108" i="8" s="1"/>
  <c r="P108" i="9" s="1"/>
  <c r="P108" i="10" s="1"/>
  <c r="P79" i="7"/>
  <c r="P79" i="8" s="1"/>
  <c r="P79" i="9" s="1"/>
  <c r="P79" i="10" s="1"/>
  <c r="E27" i="1"/>
  <c r="AD8" i="1"/>
  <c r="F65" i="7"/>
  <c r="F65" i="8" s="1"/>
  <c r="F65" i="9" s="1"/>
  <c r="F65" i="10" s="1"/>
  <c r="P65" i="7"/>
  <c r="P65" i="8" s="1"/>
  <c r="P65" i="9" s="1"/>
  <c r="P65" i="10" s="1"/>
  <c r="L66" i="7"/>
  <c r="L66" i="8" s="1"/>
  <c r="L66" i="9" s="1"/>
  <c r="L66" i="10" s="1"/>
  <c r="S12" i="7"/>
  <c r="U12" i="8" s="1"/>
  <c r="L27" i="1"/>
  <c r="P109" i="1"/>
  <c r="S90" i="1"/>
  <c r="S91" i="1"/>
  <c r="S92" i="1"/>
  <c r="X92" i="1" s="1"/>
  <c r="Z252" i="4"/>
  <c r="AO99" i="17"/>
  <c r="P80" i="1"/>
  <c r="F27" i="1"/>
  <c r="P94" i="1"/>
  <c r="F103" i="17"/>
  <c r="AO100" i="17"/>
  <c r="F70" i="7"/>
  <c r="F70" i="8" s="1"/>
  <c r="F70" i="9" s="1"/>
  <c r="F70" i="10" s="1"/>
  <c r="O70" i="7"/>
  <c r="O70" i="8" s="1"/>
  <c r="O70" i="9" s="1"/>
  <c r="O70" i="10" s="1"/>
  <c r="N70" i="7"/>
  <c r="N70" i="8" s="1"/>
  <c r="N70" i="9" s="1"/>
  <c r="N70" i="10" s="1"/>
  <c r="L70" i="7"/>
  <c r="L70" i="8" s="1"/>
  <c r="L70" i="9" s="1"/>
  <c r="L70" i="10" s="1"/>
  <c r="K70" i="7"/>
  <c r="K70" i="8" s="1"/>
  <c r="K70" i="9" s="1"/>
  <c r="K70" i="10" s="1"/>
  <c r="J70" i="7"/>
  <c r="J70" i="8" s="1"/>
  <c r="J70" i="9" s="1"/>
  <c r="J70" i="10" s="1"/>
  <c r="I70" i="7"/>
  <c r="I70" i="8" s="1"/>
  <c r="I70" i="9" s="1"/>
  <c r="I70" i="10" s="1"/>
  <c r="E70" i="7"/>
  <c r="E70" i="8" s="1"/>
  <c r="E70" i="9" s="1"/>
  <c r="E70" i="10" s="1"/>
  <c r="H70" i="7"/>
  <c r="H70" i="8" s="1"/>
  <c r="H70" i="9" s="1"/>
  <c r="H70" i="10" s="1"/>
  <c r="G70" i="7"/>
  <c r="G70" i="8" s="1"/>
  <c r="G70" i="9" s="1"/>
  <c r="G70" i="10" s="1"/>
  <c r="E8" i="17"/>
  <c r="G5" i="18" s="1"/>
  <c r="F5" i="18" s="1"/>
  <c r="U93" i="7"/>
  <c r="AA93" i="1"/>
  <c r="AQ93" i="17"/>
  <c r="AD93" i="1"/>
  <c r="AQ111" i="17"/>
  <c r="U111" i="7"/>
  <c r="S113" i="1"/>
  <c r="AD111" i="1"/>
  <c r="AD112" i="1"/>
  <c r="AQ112" i="17"/>
  <c r="U112" i="7"/>
  <c r="AA112" i="1"/>
  <c r="S122" i="1"/>
  <c r="E132" i="6" s="1"/>
  <c r="AO80" i="17"/>
  <c r="AO94" i="17"/>
  <c r="U98" i="7"/>
  <c r="AD98" i="1"/>
  <c r="AA98" i="1"/>
  <c r="AQ98" i="17"/>
  <c r="S101" i="1"/>
  <c r="X101" i="1" s="1"/>
  <c r="AA68" i="1"/>
  <c r="S69" i="1"/>
  <c r="AQ83" i="17"/>
  <c r="AA83" i="1"/>
  <c r="U83" i="7"/>
  <c r="AD83" i="1"/>
  <c r="AD12" i="1"/>
  <c r="E12" i="17"/>
  <c r="G10" i="18" s="1"/>
  <c r="F10" i="18" s="1"/>
  <c r="AD9" i="1"/>
  <c r="E9" i="17"/>
  <c r="G6" i="18" s="1"/>
  <c r="F6" i="18" s="1"/>
  <c r="S102" i="1"/>
  <c r="X102" i="1" s="1"/>
  <c r="AD67" i="1"/>
  <c r="AQ67" i="17"/>
  <c r="AQ68" i="17"/>
  <c r="S97" i="1"/>
  <c r="X97" i="1" s="1"/>
  <c r="S66" i="1"/>
  <c r="X66" i="1" s="1"/>
  <c r="U8" i="7"/>
  <c r="U106" i="1"/>
  <c r="S105" i="1"/>
  <c r="S65" i="1"/>
  <c r="X65" i="1" s="1"/>
  <c r="S78" i="1"/>
  <c r="S76" i="1"/>
  <c r="AQ76" i="17" s="1"/>
  <c r="S96" i="1"/>
  <c r="S77" i="1"/>
  <c r="K25" i="9"/>
  <c r="G25" i="9"/>
  <c r="M25" i="9"/>
  <c r="H25" i="9"/>
  <c r="N25" i="9"/>
  <c r="F25" i="9"/>
  <c r="J25" i="9"/>
  <c r="P25" i="9"/>
  <c r="I25" i="9"/>
  <c r="L25" i="9"/>
  <c r="O25" i="9"/>
  <c r="E22" i="8"/>
  <c r="E25" i="8"/>
  <c r="S24" i="8"/>
  <c r="I31" i="6" s="1"/>
  <c r="G22" i="8"/>
  <c r="I22" i="8"/>
  <c r="F22" i="8"/>
  <c r="M22" i="8"/>
  <c r="L22" i="8"/>
  <c r="H22" i="8"/>
  <c r="N22" i="8"/>
  <c r="O13" i="9"/>
  <c r="L13" i="9"/>
  <c r="G13" i="9"/>
  <c r="P13" i="9"/>
  <c r="N13" i="9"/>
  <c r="S9" i="9"/>
  <c r="I13" i="9"/>
  <c r="Q5" i="10"/>
  <c r="H13" i="9"/>
  <c r="E13" i="10"/>
  <c r="K13" i="9"/>
  <c r="S71" i="1"/>
  <c r="S72" i="1"/>
  <c r="AA67" i="1"/>
  <c r="U67" i="7"/>
  <c r="U12" i="7"/>
  <c r="AA12" i="1"/>
  <c r="AA9" i="1"/>
  <c r="U9" i="7"/>
  <c r="S12" i="8" l="1"/>
  <c r="U12" i="9" s="1"/>
  <c r="S9" i="8"/>
  <c r="U9" i="9" s="1"/>
  <c r="S9" i="7"/>
  <c r="U9" i="8" s="1"/>
  <c r="V9" i="8" s="1"/>
  <c r="S12" i="9"/>
  <c r="V12" i="9" s="1"/>
  <c r="G27" i="16"/>
  <c r="J30" i="11"/>
  <c r="K30" i="11" s="1"/>
  <c r="U80" i="1"/>
  <c r="E25" i="11" s="1"/>
  <c r="G25" i="11" s="1"/>
  <c r="U94" i="1"/>
  <c r="E26" i="11" s="1"/>
  <c r="G26" i="11" s="1"/>
  <c r="M70" i="7"/>
  <c r="M70" i="8" s="1"/>
  <c r="M70" i="9" s="1"/>
  <c r="M70" i="10" s="1"/>
  <c r="S70" i="1"/>
  <c r="X70" i="1" s="1"/>
  <c r="E28" i="11"/>
  <c r="G28" i="11" s="1"/>
  <c r="G14" i="11"/>
  <c r="AQ78" i="17"/>
  <c r="X78" i="1"/>
  <c r="X91" i="1"/>
  <c r="AQ105" i="17"/>
  <c r="X105" i="1"/>
  <c r="X106" i="1" s="1"/>
  <c r="X90" i="1"/>
  <c r="AQ77" i="17"/>
  <c r="X77" i="1"/>
  <c r="X69" i="1"/>
  <c r="X72" i="1"/>
  <c r="X71" i="1"/>
  <c r="AQ96" i="17"/>
  <c r="X96" i="1"/>
  <c r="G30" i="11"/>
  <c r="P70" i="7"/>
  <c r="P70" i="8" s="1"/>
  <c r="P70" i="9" s="1"/>
  <c r="P70" i="10" s="1"/>
  <c r="V12" i="7"/>
  <c r="V9" i="9"/>
  <c r="S11" i="7"/>
  <c r="U11" i="8" s="1"/>
  <c r="AQ97" i="17"/>
  <c r="AQ101" i="17"/>
  <c r="AD102" i="1"/>
  <c r="AQ65" i="17"/>
  <c r="AQ66" i="17"/>
  <c r="AA92" i="1"/>
  <c r="P103" i="1"/>
  <c r="X99" i="1"/>
  <c r="AO103" i="17"/>
  <c r="AA10" i="1"/>
  <c r="U92" i="7"/>
  <c r="AD92" i="1"/>
  <c r="AQ92" i="17"/>
  <c r="AD113" i="1"/>
  <c r="AQ113" i="17"/>
  <c r="AA111" i="1"/>
  <c r="AA113" i="1" s="1"/>
  <c r="U113" i="7"/>
  <c r="E119" i="6"/>
  <c r="E123" i="7"/>
  <c r="AO8" i="17"/>
  <c r="U101" i="7"/>
  <c r="AA101" i="1"/>
  <c r="AD101" i="1"/>
  <c r="AO12" i="17"/>
  <c r="AQ12" i="17" s="1"/>
  <c r="AD68" i="1"/>
  <c r="U69" i="7"/>
  <c r="AA69" i="1"/>
  <c r="AQ69" i="17"/>
  <c r="AD69" i="1"/>
  <c r="U102" i="7"/>
  <c r="AA102" i="1"/>
  <c r="AD10" i="1"/>
  <c r="E10" i="17"/>
  <c r="G7" i="18" s="1"/>
  <c r="F7" i="18" s="1"/>
  <c r="AO9" i="17"/>
  <c r="AQ9" i="17" s="1"/>
  <c r="AD11" i="1"/>
  <c r="E11" i="17"/>
  <c r="G8" i="18" s="1"/>
  <c r="F8" i="18" s="1"/>
  <c r="AQ102" i="17"/>
  <c r="AD71" i="1"/>
  <c r="AQ71" i="17"/>
  <c r="AD72" i="1"/>
  <c r="AQ72" i="17"/>
  <c r="AA97" i="1"/>
  <c r="AD97" i="1"/>
  <c r="AA65" i="1"/>
  <c r="AD65" i="1"/>
  <c r="AD66" i="1"/>
  <c r="AA105" i="1"/>
  <c r="AA106" i="1" s="1"/>
  <c r="AD105" i="1"/>
  <c r="AD106" i="1" s="1"/>
  <c r="AD96" i="1"/>
  <c r="AA77" i="1"/>
  <c r="AD77" i="1"/>
  <c r="U10" i="7"/>
  <c r="AA76" i="1"/>
  <c r="AD76" i="1"/>
  <c r="U78" i="7"/>
  <c r="AD78" i="1"/>
  <c r="AA66" i="1"/>
  <c r="U66" i="7"/>
  <c r="U97" i="7"/>
  <c r="U11" i="7"/>
  <c r="U65" i="7"/>
  <c r="S106" i="1"/>
  <c r="J28" i="11" s="1"/>
  <c r="K28" i="11" s="1"/>
  <c r="U105" i="7"/>
  <c r="U106" i="7" s="1"/>
  <c r="AA78" i="1"/>
  <c r="U96" i="7"/>
  <c r="U76" i="7"/>
  <c r="AA96" i="1"/>
  <c r="U77" i="7"/>
  <c r="U68" i="7"/>
  <c r="AA11" i="1"/>
  <c r="F22" i="9"/>
  <c r="I22" i="9"/>
  <c r="G22" i="9"/>
  <c r="L22" i="9"/>
  <c r="M22" i="9"/>
  <c r="H22" i="9"/>
  <c r="S25" i="8"/>
  <c r="U24" i="9"/>
  <c r="U25" i="9" s="1"/>
  <c r="V24" i="8"/>
  <c r="V25" i="8" s="1"/>
  <c r="E25" i="9"/>
  <c r="S24" i="9"/>
  <c r="K31" i="6" s="1"/>
  <c r="N22" i="9"/>
  <c r="M25" i="10"/>
  <c r="K25" i="10"/>
  <c r="O25" i="10"/>
  <c r="J25" i="10"/>
  <c r="G25" i="10"/>
  <c r="N25" i="10"/>
  <c r="P25" i="10"/>
  <c r="F25" i="10"/>
  <c r="I25" i="10"/>
  <c r="H25" i="10"/>
  <c r="L25" i="10"/>
  <c r="E22" i="9"/>
  <c r="K13" i="10"/>
  <c r="F13" i="10"/>
  <c r="P13" i="10"/>
  <c r="N13" i="10"/>
  <c r="H13" i="10"/>
  <c r="G13" i="10"/>
  <c r="O13" i="10"/>
  <c r="U9" i="10"/>
  <c r="L13" i="10"/>
  <c r="S12" i="10"/>
  <c r="J13" i="10"/>
  <c r="S9" i="10"/>
  <c r="M13" i="10"/>
  <c r="I13" i="10"/>
  <c r="AA72" i="1"/>
  <c r="U72" i="7"/>
  <c r="AA71" i="1"/>
  <c r="U71" i="7"/>
  <c r="V12" i="8" l="1"/>
  <c r="V9" i="7"/>
  <c r="U12" i="10"/>
  <c r="V12" i="10" s="1"/>
  <c r="H27" i="16"/>
  <c r="U103" i="1"/>
  <c r="E27" i="11" s="1"/>
  <c r="G27" i="11" s="1"/>
  <c r="G25" i="16"/>
  <c r="H25" i="16" s="1"/>
  <c r="G11" i="16"/>
  <c r="H11" i="16" s="1"/>
  <c r="V11" i="7"/>
  <c r="S10" i="7"/>
  <c r="S10" i="8"/>
  <c r="S11" i="8"/>
  <c r="E112" i="6"/>
  <c r="U99" i="7"/>
  <c r="AQ70" i="17"/>
  <c r="AA99" i="1"/>
  <c r="AQ99" i="17"/>
  <c r="AD99" i="1"/>
  <c r="O122" i="7"/>
  <c r="N122" i="7"/>
  <c r="P122" i="7"/>
  <c r="K122" i="7"/>
  <c r="F122" i="7"/>
  <c r="J122" i="7"/>
  <c r="H122" i="7"/>
  <c r="I122" i="7"/>
  <c r="M122" i="7"/>
  <c r="L122" i="7"/>
  <c r="G122" i="7"/>
  <c r="AA13" i="1"/>
  <c r="AA70" i="1"/>
  <c r="U70" i="7"/>
  <c r="AD70" i="1"/>
  <c r="S123" i="1"/>
  <c r="E133" i="6" s="1"/>
  <c r="G113" i="7"/>
  <c r="O113" i="7"/>
  <c r="M113" i="7"/>
  <c r="P113" i="7"/>
  <c r="N113" i="7"/>
  <c r="H113" i="7"/>
  <c r="I113" i="7"/>
  <c r="F113" i="7"/>
  <c r="S93" i="7"/>
  <c r="J113" i="7"/>
  <c r="S112" i="7"/>
  <c r="E122" i="7"/>
  <c r="K113" i="7"/>
  <c r="H122" i="8"/>
  <c r="S111" i="7"/>
  <c r="L113" i="7"/>
  <c r="E19" i="6"/>
  <c r="AO11" i="17"/>
  <c r="AQ11" i="17" s="1"/>
  <c r="AO10" i="17"/>
  <c r="AQ10" i="17" s="1"/>
  <c r="AD13" i="1"/>
  <c r="AQ8" i="17"/>
  <c r="E13" i="17"/>
  <c r="AQ106" i="17"/>
  <c r="U13" i="7"/>
  <c r="F22" i="10"/>
  <c r="E25" i="10"/>
  <c r="S24" i="10"/>
  <c r="M31" i="6" s="1"/>
  <c r="E22" i="10"/>
  <c r="N22" i="10"/>
  <c r="H22" i="10"/>
  <c r="L22" i="10"/>
  <c r="I22" i="10"/>
  <c r="M22" i="10"/>
  <c r="G22" i="10"/>
  <c r="U24" i="10"/>
  <c r="U25" i="10" s="1"/>
  <c r="V24" i="9"/>
  <c r="V25" i="9" s="1"/>
  <c r="S25" i="9"/>
  <c r="V9" i="10"/>
  <c r="F64" i="17"/>
  <c r="U11" i="9" l="1"/>
  <c r="V11" i="8"/>
  <c r="S10" i="10"/>
  <c r="S10" i="9"/>
  <c r="S11" i="10"/>
  <c r="S11" i="9"/>
  <c r="U10" i="9"/>
  <c r="U10" i="8"/>
  <c r="V10" i="7"/>
  <c r="F122" i="8"/>
  <c r="L122" i="8"/>
  <c r="G119" i="6"/>
  <c r="I122" i="8"/>
  <c r="N122" i="8"/>
  <c r="O122" i="8"/>
  <c r="K122" i="8"/>
  <c r="M122" i="8"/>
  <c r="P122" i="8"/>
  <c r="S122" i="7"/>
  <c r="G132" i="6" s="1"/>
  <c r="J17" i="7"/>
  <c r="L17" i="7"/>
  <c r="L27" i="7" s="1"/>
  <c r="E17" i="7"/>
  <c r="E27" i="7" s="1"/>
  <c r="P17" i="7"/>
  <c r="N17" i="7"/>
  <c r="N27" i="7" s="1"/>
  <c r="H17" i="7"/>
  <c r="H27" i="7" s="1"/>
  <c r="F17" i="7"/>
  <c r="F27" i="7" s="1"/>
  <c r="G17" i="7"/>
  <c r="G27" i="7" s="1"/>
  <c r="J122" i="8"/>
  <c r="G122" i="8"/>
  <c r="F109" i="7"/>
  <c r="K109" i="7"/>
  <c r="J109" i="7"/>
  <c r="G109" i="7"/>
  <c r="E109" i="7"/>
  <c r="N109" i="7"/>
  <c r="L109" i="7"/>
  <c r="H109" i="7"/>
  <c r="P109" i="7"/>
  <c r="M109" i="7"/>
  <c r="O109" i="7"/>
  <c r="G106" i="7"/>
  <c r="L17" i="8"/>
  <c r="L27" i="8" s="1"/>
  <c r="N17" i="8"/>
  <c r="N27" i="8" s="1"/>
  <c r="G17" i="8"/>
  <c r="G27" i="8" s="1"/>
  <c r="P17" i="8"/>
  <c r="J17" i="8"/>
  <c r="P113" i="8"/>
  <c r="H113" i="8"/>
  <c r="N113" i="8"/>
  <c r="F113" i="8"/>
  <c r="J113" i="8"/>
  <c r="M113" i="8"/>
  <c r="E122" i="8"/>
  <c r="S112" i="8"/>
  <c r="G113" i="8"/>
  <c r="L113" i="8"/>
  <c r="I113" i="8"/>
  <c r="G122" i="9"/>
  <c r="P122" i="9"/>
  <c r="I122" i="9"/>
  <c r="H122" i="9"/>
  <c r="L122" i="9"/>
  <c r="N122" i="9"/>
  <c r="F122" i="9"/>
  <c r="J122" i="9"/>
  <c r="M122" i="9"/>
  <c r="O122" i="9"/>
  <c r="K122" i="9"/>
  <c r="U112" i="8"/>
  <c r="V112" i="7"/>
  <c r="S111" i="8"/>
  <c r="E113" i="8"/>
  <c r="K113" i="8"/>
  <c r="S113" i="7"/>
  <c r="V111" i="7"/>
  <c r="U111" i="8"/>
  <c r="O113" i="8"/>
  <c r="U93" i="8"/>
  <c r="V93" i="7"/>
  <c r="S93" i="8"/>
  <c r="F74" i="17"/>
  <c r="S98" i="7"/>
  <c r="AO13" i="17"/>
  <c r="AQ13" i="17" s="1"/>
  <c r="S83" i="7"/>
  <c r="E64" i="17"/>
  <c r="E73" i="17"/>
  <c r="H75" i="4"/>
  <c r="S25" i="10"/>
  <c r="V24" i="10"/>
  <c r="V25" i="10" s="1"/>
  <c r="S101" i="7"/>
  <c r="S102" i="7"/>
  <c r="S97" i="7"/>
  <c r="S66" i="7"/>
  <c r="S77" i="7"/>
  <c r="S76" i="7"/>
  <c r="X75" i="4" l="1"/>
  <c r="F56" i="2"/>
  <c r="F55" i="2"/>
  <c r="AE19" i="17" s="1"/>
  <c r="F52" i="2"/>
  <c r="F49" i="2"/>
  <c r="F59" i="2"/>
  <c r="F50" i="2"/>
  <c r="I16" i="1" s="1"/>
  <c r="F58" i="2"/>
  <c r="F57" i="2"/>
  <c r="AJ19" i="17" s="1"/>
  <c r="AJ22" i="17" s="1"/>
  <c r="AJ27" i="17" s="1"/>
  <c r="AJ117" i="17" s="1"/>
  <c r="F60" i="2"/>
  <c r="V10" i="8"/>
  <c r="V11" i="9"/>
  <c r="U11" i="10"/>
  <c r="V11" i="10" s="1"/>
  <c r="V10" i="9"/>
  <c r="U10" i="10"/>
  <c r="V10" i="10" s="1"/>
  <c r="S96" i="7"/>
  <c r="V96" i="7" s="1"/>
  <c r="S122" i="8"/>
  <c r="I132" i="6" s="1"/>
  <c r="L109" i="8"/>
  <c r="P109" i="8"/>
  <c r="H109" i="8"/>
  <c r="K109" i="8"/>
  <c r="G109" i="8"/>
  <c r="F109" i="8"/>
  <c r="N109" i="8"/>
  <c r="J109" i="8"/>
  <c r="H17" i="8"/>
  <c r="H27" i="8" s="1"/>
  <c r="F17" i="8"/>
  <c r="F27" i="8" s="1"/>
  <c r="E17" i="8"/>
  <c r="E27" i="8" s="1"/>
  <c r="U112" i="9"/>
  <c r="I119" i="6"/>
  <c r="M109" i="8"/>
  <c r="O109" i="8"/>
  <c r="I106" i="7"/>
  <c r="L106" i="7"/>
  <c r="J106" i="7"/>
  <c r="O106" i="7"/>
  <c r="H106" i="7"/>
  <c r="N106" i="7"/>
  <c r="M106" i="7"/>
  <c r="P106" i="7"/>
  <c r="K106" i="7"/>
  <c r="F106" i="7"/>
  <c r="U101" i="8"/>
  <c r="V97" i="7"/>
  <c r="J103" i="7"/>
  <c r="H103" i="7"/>
  <c r="V98" i="7"/>
  <c r="O103" i="7"/>
  <c r="E103" i="7"/>
  <c r="F103" i="7"/>
  <c r="L103" i="7"/>
  <c r="I103" i="7"/>
  <c r="V102" i="7"/>
  <c r="M103" i="7"/>
  <c r="P103" i="7"/>
  <c r="G103" i="7"/>
  <c r="U83" i="8"/>
  <c r="U93" i="9"/>
  <c r="N64" i="7"/>
  <c r="N64" i="8" s="1"/>
  <c r="N64" i="9" s="1"/>
  <c r="N64" i="10" s="1"/>
  <c r="M64" i="7"/>
  <c r="M64" i="8" s="1"/>
  <c r="M64" i="9" s="1"/>
  <c r="M64" i="10" s="1"/>
  <c r="L64" i="7"/>
  <c r="L64" i="8" s="1"/>
  <c r="L64" i="9" s="1"/>
  <c r="L64" i="10" s="1"/>
  <c r="O64" i="7"/>
  <c r="O64" i="8" s="1"/>
  <c r="O64" i="9" s="1"/>
  <c r="O64" i="10" s="1"/>
  <c r="K64" i="7"/>
  <c r="K64" i="8" s="1"/>
  <c r="K64" i="9" s="1"/>
  <c r="K64" i="10" s="1"/>
  <c r="J64" i="7"/>
  <c r="J64" i="8" s="1"/>
  <c r="J64" i="9" s="1"/>
  <c r="J64" i="10" s="1"/>
  <c r="I64" i="7"/>
  <c r="I64" i="8" s="1"/>
  <c r="I64" i="9" s="1"/>
  <c r="I64" i="10" s="1"/>
  <c r="H64" i="7"/>
  <c r="H64" i="8" s="1"/>
  <c r="H64" i="9" s="1"/>
  <c r="H64" i="10" s="1"/>
  <c r="G64" i="7"/>
  <c r="G64" i="8" s="1"/>
  <c r="G64" i="9" s="1"/>
  <c r="G64" i="10" s="1"/>
  <c r="F64" i="7"/>
  <c r="F64" i="8" s="1"/>
  <c r="F64" i="9" s="1"/>
  <c r="F64" i="10" s="1"/>
  <c r="J73" i="7"/>
  <c r="J73" i="8" s="1"/>
  <c r="J73" i="9" s="1"/>
  <c r="J73" i="10" s="1"/>
  <c r="I73" i="7"/>
  <c r="I73" i="8" s="1"/>
  <c r="I73" i="9" s="1"/>
  <c r="I73" i="10" s="1"/>
  <c r="H73" i="7"/>
  <c r="H73" i="8" s="1"/>
  <c r="H73" i="9" s="1"/>
  <c r="H73" i="10" s="1"/>
  <c r="K73" i="7"/>
  <c r="K73" i="8" s="1"/>
  <c r="K73" i="9" s="1"/>
  <c r="K73" i="10" s="1"/>
  <c r="G73" i="7"/>
  <c r="G73" i="8" s="1"/>
  <c r="G73" i="9" s="1"/>
  <c r="G73" i="10" s="1"/>
  <c r="F73" i="7"/>
  <c r="F73" i="8" s="1"/>
  <c r="F73" i="9" s="1"/>
  <c r="F73" i="10" s="1"/>
  <c r="O73" i="7"/>
  <c r="O73" i="8" s="1"/>
  <c r="O73" i="9" s="1"/>
  <c r="O73" i="10" s="1"/>
  <c r="N73" i="7"/>
  <c r="N73" i="8" s="1"/>
  <c r="N73" i="9" s="1"/>
  <c r="N73" i="10" s="1"/>
  <c r="M73" i="7"/>
  <c r="M73" i="8" s="1"/>
  <c r="M73" i="9" s="1"/>
  <c r="M73" i="10" s="1"/>
  <c r="E73" i="7"/>
  <c r="E73" i="8" s="1"/>
  <c r="E73" i="9" s="1"/>
  <c r="E73" i="10" s="1"/>
  <c r="L73" i="7"/>
  <c r="L73" i="8" s="1"/>
  <c r="L73" i="9" s="1"/>
  <c r="L73" i="10" s="1"/>
  <c r="L17" i="9"/>
  <c r="L27" i="9" s="1"/>
  <c r="G17" i="9"/>
  <c r="G27" i="9" s="1"/>
  <c r="J17" i="9"/>
  <c r="E17" i="9"/>
  <c r="E27" i="9" s="1"/>
  <c r="N17" i="9"/>
  <c r="N27" i="9" s="1"/>
  <c r="H17" i="9"/>
  <c r="H27" i="9" s="1"/>
  <c r="P17" i="9"/>
  <c r="F17" i="9"/>
  <c r="F27" i="9" s="1"/>
  <c r="N113" i="9"/>
  <c r="O113" i="9"/>
  <c r="I113" i="9"/>
  <c r="S93" i="9"/>
  <c r="S111" i="9"/>
  <c r="M113" i="9"/>
  <c r="K113" i="9"/>
  <c r="G113" i="9"/>
  <c r="L113" i="9"/>
  <c r="J113" i="9"/>
  <c r="H113" i="9"/>
  <c r="F113" i="9"/>
  <c r="N122" i="10"/>
  <c r="L122" i="10"/>
  <c r="P122" i="10"/>
  <c r="F122" i="10"/>
  <c r="H122" i="10"/>
  <c r="I122" i="10"/>
  <c r="M122" i="10"/>
  <c r="O122" i="10"/>
  <c r="J122" i="10"/>
  <c r="G122" i="10"/>
  <c r="K122" i="10"/>
  <c r="P113" i="9"/>
  <c r="V112" i="8"/>
  <c r="U111" i="9"/>
  <c r="S113" i="8"/>
  <c r="V93" i="8"/>
  <c r="V111" i="8"/>
  <c r="U113" i="8"/>
  <c r="E113" i="9"/>
  <c r="S112" i="9"/>
  <c r="E122" i="9"/>
  <c r="S122" i="9" s="1"/>
  <c r="K132" i="6" s="1"/>
  <c r="V113" i="7"/>
  <c r="Z75" i="4"/>
  <c r="S98" i="8"/>
  <c r="U98" i="8"/>
  <c r="S79" i="1"/>
  <c r="X79" i="1" s="1"/>
  <c r="X80" i="1" s="1"/>
  <c r="AO73" i="17"/>
  <c r="Z12" i="4"/>
  <c r="V83" i="7"/>
  <c r="S89" i="1"/>
  <c r="AO64" i="17"/>
  <c r="E74" i="17"/>
  <c r="E115" i="17" s="1"/>
  <c r="S83" i="8"/>
  <c r="G106" i="8"/>
  <c r="E106" i="8"/>
  <c r="M109" i="9"/>
  <c r="E106" i="7"/>
  <c r="S105" i="7"/>
  <c r="S65" i="7"/>
  <c r="S68" i="7"/>
  <c r="V101" i="7"/>
  <c r="K103" i="7"/>
  <c r="U97" i="8"/>
  <c r="K103" i="8"/>
  <c r="S82" i="1"/>
  <c r="X82" i="1" s="1"/>
  <c r="S77" i="8"/>
  <c r="U102" i="8"/>
  <c r="S84" i="1"/>
  <c r="O109" i="9"/>
  <c r="F109" i="9"/>
  <c r="S76" i="8"/>
  <c r="S65" i="8"/>
  <c r="L109" i="9"/>
  <c r="J109" i="9"/>
  <c r="S102" i="8"/>
  <c r="S66" i="8"/>
  <c r="V77" i="7"/>
  <c r="U77" i="8"/>
  <c r="S71" i="7"/>
  <c r="S96" i="8"/>
  <c r="S97" i="8"/>
  <c r="S72" i="7"/>
  <c r="P109" i="9"/>
  <c r="K109" i="9"/>
  <c r="E109" i="8"/>
  <c r="S101" i="8"/>
  <c r="U76" i="8"/>
  <c r="V76" i="7"/>
  <c r="H109" i="9"/>
  <c r="G109" i="9"/>
  <c r="V66" i="7"/>
  <c r="U66" i="8"/>
  <c r="N109" i="9"/>
  <c r="E21" i="17" l="1"/>
  <c r="G18" i="18" s="1"/>
  <c r="F18" i="18" s="1"/>
  <c r="O21" i="1"/>
  <c r="I17" i="1"/>
  <c r="I27" i="1" s="1"/>
  <c r="I16" i="7"/>
  <c r="J20" i="1"/>
  <c r="O20" i="1"/>
  <c r="E20" i="17"/>
  <c r="G17" i="18" s="1"/>
  <c r="F17" i="18" s="1"/>
  <c r="M16" i="1"/>
  <c r="Z16" i="17"/>
  <c r="K16" i="1"/>
  <c r="O16" i="1"/>
  <c r="AB16" i="17"/>
  <c r="AE22" i="17"/>
  <c r="AE27" i="17" s="1"/>
  <c r="AE117" i="17" s="1"/>
  <c r="AO19" i="17"/>
  <c r="K19" i="1"/>
  <c r="P19" i="1"/>
  <c r="X89" i="1"/>
  <c r="X84" i="1"/>
  <c r="P73" i="7"/>
  <c r="P73" i="8" s="1"/>
  <c r="P73" i="9" s="1"/>
  <c r="P73" i="10" s="1"/>
  <c r="P64" i="7"/>
  <c r="P64" i="8" s="1"/>
  <c r="P64" i="9" s="1"/>
  <c r="P64" i="10" s="1"/>
  <c r="U96" i="8"/>
  <c r="V96" i="8" s="1"/>
  <c r="S78" i="7"/>
  <c r="M103" i="8"/>
  <c r="I103" i="8"/>
  <c r="M106" i="8"/>
  <c r="K106" i="8"/>
  <c r="J106" i="8"/>
  <c r="N106" i="8"/>
  <c r="L106" i="8"/>
  <c r="F103" i="8"/>
  <c r="G103" i="8"/>
  <c r="I106" i="8"/>
  <c r="P103" i="8"/>
  <c r="O103" i="8"/>
  <c r="H106" i="8"/>
  <c r="P106" i="8"/>
  <c r="U111" i="10"/>
  <c r="U112" i="10"/>
  <c r="O106" i="8"/>
  <c r="S106" i="7"/>
  <c r="G112" i="6"/>
  <c r="F106" i="8"/>
  <c r="U97" i="9"/>
  <c r="U101" i="9"/>
  <c r="U98" i="9"/>
  <c r="H103" i="8"/>
  <c r="U102" i="9"/>
  <c r="L103" i="8"/>
  <c r="U93" i="10"/>
  <c r="U83" i="9"/>
  <c r="U77" i="9"/>
  <c r="U76" i="9"/>
  <c r="U65" i="9"/>
  <c r="U66" i="9"/>
  <c r="V65" i="7"/>
  <c r="U68" i="8"/>
  <c r="L17" i="10"/>
  <c r="L27" i="10" s="1"/>
  <c r="I113" i="10"/>
  <c r="J17" i="10"/>
  <c r="E17" i="10"/>
  <c r="E27" i="10" s="1"/>
  <c r="P17" i="10"/>
  <c r="F17" i="10"/>
  <c r="F27" i="10" s="1"/>
  <c r="N17" i="10"/>
  <c r="N27" i="10" s="1"/>
  <c r="H17" i="10"/>
  <c r="H27" i="10" s="1"/>
  <c r="G17" i="10"/>
  <c r="G27" i="10" s="1"/>
  <c r="M113" i="10"/>
  <c r="J113" i="10"/>
  <c r="N113" i="10"/>
  <c r="P113" i="10"/>
  <c r="V93" i="9"/>
  <c r="O113" i="10"/>
  <c r="F113" i="10"/>
  <c r="G113" i="10"/>
  <c r="S93" i="10"/>
  <c r="K113" i="10"/>
  <c r="S113" i="9"/>
  <c r="V113" i="8"/>
  <c r="H113" i="10"/>
  <c r="L113" i="10"/>
  <c r="E122" i="10"/>
  <c r="S122" i="10" s="1"/>
  <c r="M132" i="6" s="1"/>
  <c r="S112" i="10"/>
  <c r="S111" i="10"/>
  <c r="E113" i="10"/>
  <c r="U113" i="9"/>
  <c r="V111" i="9"/>
  <c r="V112" i="9"/>
  <c r="S98" i="9"/>
  <c r="V98" i="8"/>
  <c r="S85" i="1"/>
  <c r="X85" i="1" s="1"/>
  <c r="AQ79" i="17"/>
  <c r="U79" i="7"/>
  <c r="AD79" i="1"/>
  <c r="AD80" i="1" s="1"/>
  <c r="S80" i="1"/>
  <c r="J25" i="11" s="1"/>
  <c r="K25" i="11" s="1"/>
  <c r="AO74" i="17"/>
  <c r="S83" i="9"/>
  <c r="V83" i="8"/>
  <c r="AD89" i="1"/>
  <c r="AQ89" i="17"/>
  <c r="U89" i="7"/>
  <c r="AA89" i="1"/>
  <c r="J106" i="9"/>
  <c r="E106" i="9"/>
  <c r="AD84" i="1"/>
  <c r="AQ84" i="17"/>
  <c r="AD82" i="1"/>
  <c r="AQ82" i="17"/>
  <c r="F106" i="9"/>
  <c r="N106" i="9"/>
  <c r="G106" i="9"/>
  <c r="I106" i="9"/>
  <c r="K106" i="9"/>
  <c r="M106" i="9"/>
  <c r="V105" i="7"/>
  <c r="V106" i="7" s="1"/>
  <c r="O106" i="9"/>
  <c r="U105" i="8"/>
  <c r="U106" i="8" s="1"/>
  <c r="U65" i="8"/>
  <c r="V65" i="8" s="1"/>
  <c r="P106" i="9"/>
  <c r="S105" i="8"/>
  <c r="H106" i="9"/>
  <c r="L106" i="9"/>
  <c r="S64" i="1"/>
  <c r="S68" i="8"/>
  <c r="V68" i="7"/>
  <c r="P103" i="9"/>
  <c r="S86" i="1"/>
  <c r="V77" i="8"/>
  <c r="S87" i="1"/>
  <c r="M103" i="9"/>
  <c r="U82" i="7"/>
  <c r="AA82" i="1"/>
  <c r="S88" i="1"/>
  <c r="AA84" i="1"/>
  <c r="U84" i="7"/>
  <c r="S101" i="9"/>
  <c r="L103" i="9"/>
  <c r="V66" i="8"/>
  <c r="S71" i="8"/>
  <c r="O103" i="9"/>
  <c r="I103" i="9"/>
  <c r="V102" i="8"/>
  <c r="G103" i="9"/>
  <c r="S72" i="8"/>
  <c r="V97" i="8"/>
  <c r="S65" i="9"/>
  <c r="L109" i="10"/>
  <c r="O109" i="10"/>
  <c r="V76" i="8"/>
  <c r="F103" i="9"/>
  <c r="S97" i="9"/>
  <c r="E103" i="8"/>
  <c r="J109" i="10"/>
  <c r="M109" i="10"/>
  <c r="P109" i="10"/>
  <c r="E109" i="9"/>
  <c r="H103" i="9"/>
  <c r="S102" i="9"/>
  <c r="V101" i="8"/>
  <c r="H109" i="10"/>
  <c r="F109" i="10"/>
  <c r="U96" i="9"/>
  <c r="J103" i="8"/>
  <c r="K103" i="9"/>
  <c r="S73" i="1"/>
  <c r="G109" i="10"/>
  <c r="S76" i="9"/>
  <c r="V71" i="7"/>
  <c r="U71" i="8"/>
  <c r="V72" i="7"/>
  <c r="U72" i="8"/>
  <c r="K109" i="10"/>
  <c r="S77" i="9"/>
  <c r="S96" i="9"/>
  <c r="S66" i="9"/>
  <c r="N109" i="10"/>
  <c r="Z17" i="17" l="1"/>
  <c r="Z27" i="17" s="1"/>
  <c r="Z117" i="17" s="1"/>
  <c r="G15" i="18"/>
  <c r="F15" i="18" s="1"/>
  <c r="AO16" i="17"/>
  <c r="AB17" i="17"/>
  <c r="AB27" i="17" s="1"/>
  <c r="AB117" i="17" s="1"/>
  <c r="O16" i="7"/>
  <c r="O17" i="1"/>
  <c r="K16" i="7"/>
  <c r="K17" i="1"/>
  <c r="U17" i="1" s="1"/>
  <c r="E15" i="11" s="1"/>
  <c r="M17" i="1"/>
  <c r="M27" i="1" s="1"/>
  <c r="E22" i="17"/>
  <c r="E27" i="17" s="1"/>
  <c r="E117" i="17" s="1"/>
  <c r="AO20" i="17"/>
  <c r="O20" i="7"/>
  <c r="O22" i="1"/>
  <c r="U20" i="1"/>
  <c r="J20" i="7"/>
  <c r="J22" i="1"/>
  <c r="J27" i="1" s="1"/>
  <c r="S20" i="1"/>
  <c r="S16" i="1"/>
  <c r="U16" i="1"/>
  <c r="I16" i="8"/>
  <c r="I17" i="7"/>
  <c r="I27" i="7" s="1"/>
  <c r="P19" i="7"/>
  <c r="P22" i="1"/>
  <c r="P27" i="1" s="1"/>
  <c r="O21" i="7"/>
  <c r="S21" i="1"/>
  <c r="U19" i="1"/>
  <c r="K19" i="7"/>
  <c r="K22" i="1"/>
  <c r="S19" i="1"/>
  <c r="AQ19" i="17" s="1"/>
  <c r="AO21" i="17"/>
  <c r="U74" i="1"/>
  <c r="E24" i="11" s="1"/>
  <c r="G24" i="11" s="1"/>
  <c r="G22" i="16"/>
  <c r="H22" i="16" s="1"/>
  <c r="AQ64" i="17"/>
  <c r="X64" i="1"/>
  <c r="X88" i="1"/>
  <c r="X87" i="1"/>
  <c r="X73" i="1"/>
  <c r="X86" i="1"/>
  <c r="AD85" i="1"/>
  <c r="U78" i="8"/>
  <c r="V78" i="7"/>
  <c r="S78" i="9"/>
  <c r="U78" i="10" s="1"/>
  <c r="S78" i="8"/>
  <c r="S69" i="7"/>
  <c r="U113" i="10"/>
  <c r="V112" i="10"/>
  <c r="M119" i="6"/>
  <c r="K119" i="6"/>
  <c r="U105" i="9"/>
  <c r="U106" i="9" s="1"/>
  <c r="I112" i="6"/>
  <c r="U101" i="10"/>
  <c r="U97" i="10"/>
  <c r="U98" i="10"/>
  <c r="V93" i="10"/>
  <c r="U83" i="10"/>
  <c r="V76" i="9"/>
  <c r="U71" i="9"/>
  <c r="U68" i="9"/>
  <c r="U72" i="9"/>
  <c r="V65" i="9"/>
  <c r="V113" i="9"/>
  <c r="V111" i="10"/>
  <c r="S113" i="10"/>
  <c r="V98" i="9"/>
  <c r="S98" i="10"/>
  <c r="AA85" i="1"/>
  <c r="U85" i="7"/>
  <c r="AQ85" i="17"/>
  <c r="AQ80" i="17"/>
  <c r="E86" i="6"/>
  <c r="U80" i="7"/>
  <c r="AA79" i="1"/>
  <c r="AA80" i="1" s="1"/>
  <c r="J106" i="10"/>
  <c r="V83" i="9"/>
  <c r="S83" i="10"/>
  <c r="E106" i="10"/>
  <c r="F106" i="10"/>
  <c r="G106" i="10"/>
  <c r="N106" i="10"/>
  <c r="M106" i="10"/>
  <c r="AD90" i="1"/>
  <c r="AQ90" i="17"/>
  <c r="AD87" i="1"/>
  <c r="AQ87" i="17"/>
  <c r="AD88" i="1"/>
  <c r="AQ88" i="17"/>
  <c r="AD91" i="1"/>
  <c r="AQ91" i="17"/>
  <c r="AD86" i="1"/>
  <c r="AQ86" i="17"/>
  <c r="AD73" i="1"/>
  <c r="AQ73" i="17"/>
  <c r="I106" i="10"/>
  <c r="K106" i="10"/>
  <c r="U64" i="7"/>
  <c r="AD64" i="1"/>
  <c r="P106" i="10"/>
  <c r="H106" i="10"/>
  <c r="O106" i="10"/>
  <c r="S105" i="9"/>
  <c r="V105" i="8"/>
  <c r="V106" i="8" s="1"/>
  <c r="L106" i="10"/>
  <c r="S106" i="8"/>
  <c r="AA64" i="1"/>
  <c r="V68" i="8"/>
  <c r="S68" i="9"/>
  <c r="V97" i="9"/>
  <c r="V72" i="8"/>
  <c r="U86" i="7"/>
  <c r="AA86" i="1"/>
  <c r="U87" i="7"/>
  <c r="AA87" i="1"/>
  <c r="V71" i="8"/>
  <c r="V101" i="9"/>
  <c r="AA88" i="1"/>
  <c r="U88" i="7"/>
  <c r="J103" i="9"/>
  <c r="AA90" i="1"/>
  <c r="U90" i="7"/>
  <c r="S66" i="10"/>
  <c r="U65" i="10"/>
  <c r="S71" i="9"/>
  <c r="F103" i="10"/>
  <c r="K103" i="10"/>
  <c r="S77" i="10"/>
  <c r="I103" i="10"/>
  <c r="O103" i="10"/>
  <c r="G103" i="10"/>
  <c r="S72" i="9"/>
  <c r="S76" i="10"/>
  <c r="AA91" i="1"/>
  <c r="U91" i="7"/>
  <c r="U102" i="10"/>
  <c r="V102" i="9"/>
  <c r="J103" i="10"/>
  <c r="H103" i="10"/>
  <c r="U96" i="10"/>
  <c r="S94" i="1"/>
  <c r="J26" i="11" s="1"/>
  <c r="K26" i="11" s="1"/>
  <c r="S65" i="10"/>
  <c r="P103" i="10"/>
  <c r="V96" i="9"/>
  <c r="V66" i="9"/>
  <c r="U66" i="10"/>
  <c r="S96" i="10"/>
  <c r="U77" i="10"/>
  <c r="V77" i="9"/>
  <c r="AA73" i="1"/>
  <c r="U73" i="7"/>
  <c r="S74" i="1"/>
  <c r="J24" i="11" s="1"/>
  <c r="K24" i="11" s="1"/>
  <c r="M103" i="10"/>
  <c r="S102" i="10"/>
  <c r="S97" i="10"/>
  <c r="U76" i="10"/>
  <c r="S101" i="10"/>
  <c r="E109" i="10"/>
  <c r="E103" i="9"/>
  <c r="L103" i="10"/>
  <c r="AQ21" i="17" l="1"/>
  <c r="K27" i="1"/>
  <c r="U27" i="1" s="1"/>
  <c r="AO22" i="17"/>
  <c r="AQ20" i="17"/>
  <c r="O20" i="8"/>
  <c r="O22" i="7"/>
  <c r="X21" i="1"/>
  <c r="AA21" i="1"/>
  <c r="U21" i="7"/>
  <c r="AD21" i="1"/>
  <c r="O21" i="8"/>
  <c r="P19" i="8"/>
  <c r="P22" i="7"/>
  <c r="P27" i="7" s="1"/>
  <c r="M16" i="8"/>
  <c r="M17" i="7"/>
  <c r="M27" i="7" s="1"/>
  <c r="I16" i="9"/>
  <c r="I17" i="8"/>
  <c r="I27" i="8" s="1"/>
  <c r="G15" i="11"/>
  <c r="X16" i="1"/>
  <c r="U16" i="7"/>
  <c r="U17" i="7" s="1"/>
  <c r="S17" i="1"/>
  <c r="AD16" i="1"/>
  <c r="AA16" i="1"/>
  <c r="AA17" i="1" s="1"/>
  <c r="K16" i="8"/>
  <c r="K17" i="7"/>
  <c r="O27" i="1"/>
  <c r="X19" i="1"/>
  <c r="S22" i="1"/>
  <c r="AD19" i="1"/>
  <c r="AA19" i="1"/>
  <c r="U19" i="7"/>
  <c r="U20" i="7"/>
  <c r="X20" i="1"/>
  <c r="AA20" i="1"/>
  <c r="AD20" i="1"/>
  <c r="O16" i="8"/>
  <c r="O17" i="7"/>
  <c r="U22" i="1"/>
  <c r="E16" i="11" s="1"/>
  <c r="G16" i="11" s="1"/>
  <c r="K19" i="8"/>
  <c r="K22" i="7"/>
  <c r="J20" i="8"/>
  <c r="J22" i="7"/>
  <c r="J27" i="7" s="1"/>
  <c r="AO17" i="17"/>
  <c r="AQ16" i="17"/>
  <c r="X94" i="1"/>
  <c r="G21" i="16"/>
  <c r="G23" i="16"/>
  <c r="H23" i="16" s="1"/>
  <c r="X74" i="1"/>
  <c r="S78" i="10"/>
  <c r="V78" i="10" s="1"/>
  <c r="V78" i="8"/>
  <c r="V113" i="10"/>
  <c r="U78" i="9"/>
  <c r="V78" i="9" s="1"/>
  <c r="V69" i="7"/>
  <c r="U69" i="8"/>
  <c r="S69" i="8"/>
  <c r="V105" i="9"/>
  <c r="V106" i="9" s="1"/>
  <c r="K112" i="6"/>
  <c r="V101" i="10"/>
  <c r="V97" i="10"/>
  <c r="V98" i="10"/>
  <c r="V83" i="10"/>
  <c r="U71" i="10"/>
  <c r="U72" i="10"/>
  <c r="U68" i="10"/>
  <c r="AD94" i="1"/>
  <c r="AQ94" i="17"/>
  <c r="AQ74" i="17"/>
  <c r="AD74" i="1"/>
  <c r="S106" i="9"/>
  <c r="U105" i="10"/>
  <c r="U106" i="10" s="1"/>
  <c r="S105" i="10"/>
  <c r="V68" i="9"/>
  <c r="S68" i="10"/>
  <c r="S71" i="10"/>
  <c r="V65" i="10"/>
  <c r="U94" i="7"/>
  <c r="AA94" i="1"/>
  <c r="V71" i="9"/>
  <c r="V77" i="10"/>
  <c r="E100" i="6"/>
  <c r="V72" i="9"/>
  <c r="V102" i="10"/>
  <c r="V76" i="10"/>
  <c r="U74" i="7"/>
  <c r="V66" i="10"/>
  <c r="E103" i="10"/>
  <c r="S72" i="10"/>
  <c r="E80" i="6"/>
  <c r="V96" i="10"/>
  <c r="S27" i="1" l="1"/>
  <c r="AO27" i="17"/>
  <c r="AA22" i="1"/>
  <c r="AA27" i="1" s="1"/>
  <c r="AD22" i="1"/>
  <c r="AQ22" i="17"/>
  <c r="X22" i="1"/>
  <c r="G19" i="11"/>
  <c r="K19" i="9"/>
  <c r="K22" i="8"/>
  <c r="K27" i="7"/>
  <c r="M16" i="9"/>
  <c r="M17" i="8"/>
  <c r="M27" i="8" s="1"/>
  <c r="K16" i="9"/>
  <c r="K17" i="8"/>
  <c r="O27" i="7"/>
  <c r="P19" i="9"/>
  <c r="P22" i="8"/>
  <c r="P27" i="8" s="1"/>
  <c r="O16" i="9"/>
  <c r="O17" i="8"/>
  <c r="O20" i="9"/>
  <c r="O22" i="8"/>
  <c r="E23" i="6"/>
  <c r="O21" i="9"/>
  <c r="AD17" i="1"/>
  <c r="J15" i="11"/>
  <c r="G12" i="16"/>
  <c r="X17" i="1"/>
  <c r="AQ17" i="17"/>
  <c r="U22" i="7"/>
  <c r="U27" i="7" s="1"/>
  <c r="E19" i="11"/>
  <c r="E28" i="6"/>
  <c r="J20" i="9"/>
  <c r="J22" i="8"/>
  <c r="J27" i="8" s="1"/>
  <c r="J16" i="11"/>
  <c r="K16" i="11" s="1"/>
  <c r="G13" i="16"/>
  <c r="H13" i="16" s="1"/>
  <c r="I16" i="10"/>
  <c r="I17" i="9"/>
  <c r="I27" i="9" s="1"/>
  <c r="H21" i="16"/>
  <c r="U69" i="9"/>
  <c r="V69" i="8"/>
  <c r="S69" i="10"/>
  <c r="S69" i="9"/>
  <c r="S106" i="10"/>
  <c r="M112" i="6"/>
  <c r="V68" i="10"/>
  <c r="V71" i="10"/>
  <c r="V72" i="10"/>
  <c r="S85" i="7"/>
  <c r="S89" i="7"/>
  <c r="V105" i="10"/>
  <c r="V106" i="10" s="1"/>
  <c r="S84" i="7"/>
  <c r="S82" i="7"/>
  <c r="S91" i="7"/>
  <c r="S85" i="8"/>
  <c r="AA74" i="1"/>
  <c r="K27" i="8" l="1"/>
  <c r="E33" i="6"/>
  <c r="AQ27" i="17"/>
  <c r="X27" i="1"/>
  <c r="AD27" i="1"/>
  <c r="I17" i="10"/>
  <c r="I27" i="10" s="1"/>
  <c r="O27" i="8"/>
  <c r="O20" i="10"/>
  <c r="O22" i="9"/>
  <c r="O16" i="10"/>
  <c r="O17" i="10" s="1"/>
  <c r="O17" i="9"/>
  <c r="H12" i="16"/>
  <c r="H16" i="16" s="1"/>
  <c r="G16" i="16"/>
  <c r="K15" i="11"/>
  <c r="K19" i="11" s="1"/>
  <c r="J19" i="11"/>
  <c r="K22" i="9"/>
  <c r="K19" i="10"/>
  <c r="P19" i="10"/>
  <c r="P22" i="9"/>
  <c r="P27" i="9" s="1"/>
  <c r="J22" i="9"/>
  <c r="J27" i="9" s="1"/>
  <c r="J20" i="10"/>
  <c r="O21" i="10"/>
  <c r="K16" i="10"/>
  <c r="K17" i="10" s="1"/>
  <c r="K17" i="9"/>
  <c r="S19" i="7"/>
  <c r="G28" i="6"/>
  <c r="M16" i="10"/>
  <c r="M17" i="10" s="1"/>
  <c r="M27" i="10" s="1"/>
  <c r="M17" i="9"/>
  <c r="M27" i="9" s="1"/>
  <c r="S20" i="7"/>
  <c r="S21" i="7"/>
  <c r="V69" i="9"/>
  <c r="U69" i="10"/>
  <c r="V69" i="10" s="1"/>
  <c r="V85" i="7"/>
  <c r="U84" i="8"/>
  <c r="V89" i="7"/>
  <c r="G74" i="7"/>
  <c r="O74" i="7"/>
  <c r="H74" i="7"/>
  <c r="M74" i="7"/>
  <c r="K74" i="7"/>
  <c r="N74" i="7"/>
  <c r="I74" i="7"/>
  <c r="E74" i="7"/>
  <c r="L74" i="7"/>
  <c r="U85" i="8"/>
  <c r="V85" i="8" s="1"/>
  <c r="U89" i="8"/>
  <c r="S89" i="8"/>
  <c r="P94" i="7"/>
  <c r="V84" i="7"/>
  <c r="M94" i="7"/>
  <c r="S84" i="8"/>
  <c r="O94" i="7"/>
  <c r="S86" i="7"/>
  <c r="S88" i="7"/>
  <c r="H94" i="7"/>
  <c r="F94" i="7"/>
  <c r="G94" i="7"/>
  <c r="J94" i="7"/>
  <c r="S90" i="7"/>
  <c r="E94" i="7"/>
  <c r="N94" i="7"/>
  <c r="K94" i="7"/>
  <c r="L94" i="7"/>
  <c r="S87" i="7"/>
  <c r="I94" i="7"/>
  <c r="S82" i="8"/>
  <c r="V82" i="7"/>
  <c r="U82" i="8"/>
  <c r="S73" i="7"/>
  <c r="U85" i="9"/>
  <c r="P74" i="7"/>
  <c r="F74" i="7"/>
  <c r="U91" i="8"/>
  <c r="V91" i="7"/>
  <c r="S85" i="9"/>
  <c r="J74" i="7"/>
  <c r="S16" i="7" l="1"/>
  <c r="V16" i="7" s="1"/>
  <c r="O27" i="9"/>
  <c r="S16" i="8"/>
  <c r="P22" i="10"/>
  <c r="P27" i="10" s="1"/>
  <c r="I28" i="6"/>
  <c r="K22" i="10"/>
  <c r="K27" i="10" s="1"/>
  <c r="U19" i="8"/>
  <c r="V19" i="7"/>
  <c r="S22" i="7"/>
  <c r="S19" i="8"/>
  <c r="K27" i="9"/>
  <c r="S21" i="8"/>
  <c r="U20" i="8"/>
  <c r="V20" i="7"/>
  <c r="V21" i="7"/>
  <c r="U21" i="8"/>
  <c r="S20" i="8"/>
  <c r="J22" i="10"/>
  <c r="J27" i="10" s="1"/>
  <c r="O22" i="10"/>
  <c r="O27" i="10" s="1"/>
  <c r="U88" i="8"/>
  <c r="U90" i="8"/>
  <c r="V87" i="7"/>
  <c r="U86" i="8"/>
  <c r="U84" i="9"/>
  <c r="U82" i="9"/>
  <c r="S89" i="9"/>
  <c r="V89" i="8"/>
  <c r="U89" i="9"/>
  <c r="V86" i="7"/>
  <c r="V84" i="8"/>
  <c r="S88" i="8"/>
  <c r="V88" i="7"/>
  <c r="S84" i="9"/>
  <c r="I94" i="8"/>
  <c r="S86" i="8"/>
  <c r="U87" i="8"/>
  <c r="V90" i="7"/>
  <c r="J94" i="8"/>
  <c r="G94" i="8"/>
  <c r="N94" i="8"/>
  <c r="L94" i="8"/>
  <c r="O94" i="8"/>
  <c r="S82" i="9"/>
  <c r="M94" i="8"/>
  <c r="S87" i="8"/>
  <c r="V73" i="7"/>
  <c r="K94" i="8"/>
  <c r="H94" i="8"/>
  <c r="V82" i="8"/>
  <c r="P94" i="8"/>
  <c r="U73" i="8"/>
  <c r="S90" i="8"/>
  <c r="E94" i="8"/>
  <c r="F94" i="8"/>
  <c r="S73" i="8"/>
  <c r="V85" i="9"/>
  <c r="S85" i="10"/>
  <c r="U85" i="10"/>
  <c r="S91" i="8"/>
  <c r="U16" i="8" l="1"/>
  <c r="V16" i="8" s="1"/>
  <c r="V22" i="7"/>
  <c r="V19" i="8"/>
  <c r="S22" i="8"/>
  <c r="U19" i="9"/>
  <c r="S19" i="9"/>
  <c r="U20" i="9"/>
  <c r="V20" i="8"/>
  <c r="U22" i="8"/>
  <c r="S20" i="10"/>
  <c r="S20" i="9"/>
  <c r="M28" i="6"/>
  <c r="K28" i="6"/>
  <c r="V21" i="8"/>
  <c r="U21" i="9"/>
  <c r="S21" i="10"/>
  <c r="S21" i="9"/>
  <c r="U16" i="9"/>
  <c r="S16" i="10"/>
  <c r="S16" i="9"/>
  <c r="V91" i="8"/>
  <c r="U88" i="9"/>
  <c r="U87" i="9"/>
  <c r="U90" i="9"/>
  <c r="U86" i="9"/>
  <c r="U84" i="10"/>
  <c r="V82" i="9"/>
  <c r="U89" i="10"/>
  <c r="U73" i="9"/>
  <c r="V88" i="8"/>
  <c r="S89" i="10"/>
  <c r="V89" i="9"/>
  <c r="V86" i="8"/>
  <c r="G94" i="9"/>
  <c r="H94" i="9"/>
  <c r="V84" i="9"/>
  <c r="S84" i="10"/>
  <c r="S88" i="9"/>
  <c r="K94" i="9"/>
  <c r="E94" i="9"/>
  <c r="L94" i="9"/>
  <c r="I94" i="9"/>
  <c r="F94" i="9"/>
  <c r="S86" i="9"/>
  <c r="U82" i="10"/>
  <c r="V87" i="8"/>
  <c r="P94" i="9"/>
  <c r="O94" i="9"/>
  <c r="M94" i="9"/>
  <c r="S87" i="9"/>
  <c r="S82" i="10"/>
  <c r="N94" i="9"/>
  <c r="J94" i="9"/>
  <c r="S90" i="9"/>
  <c r="V73" i="8"/>
  <c r="V90" i="8"/>
  <c r="S91" i="10"/>
  <c r="S73" i="9"/>
  <c r="S91" i="9"/>
  <c r="U91" i="9"/>
  <c r="V85" i="10"/>
  <c r="S22" i="9" l="1"/>
  <c r="U19" i="10"/>
  <c r="V19" i="9"/>
  <c r="V16" i="9"/>
  <c r="U16" i="10"/>
  <c r="V16" i="10" s="1"/>
  <c r="S19" i="10"/>
  <c r="U22" i="9"/>
  <c r="U20" i="10"/>
  <c r="V20" i="10" s="1"/>
  <c r="V20" i="9"/>
  <c r="V21" i="9"/>
  <c r="U21" i="10"/>
  <c r="V21" i="10" s="1"/>
  <c r="V22" i="8"/>
  <c r="U90" i="10"/>
  <c r="V89" i="10"/>
  <c r="V84" i="10"/>
  <c r="V88" i="9"/>
  <c r="V73" i="9"/>
  <c r="V82" i="10"/>
  <c r="U88" i="10"/>
  <c r="H94" i="10"/>
  <c r="E94" i="10"/>
  <c r="S88" i="10"/>
  <c r="K94" i="10"/>
  <c r="I94" i="10"/>
  <c r="M94" i="10"/>
  <c r="O94" i="10"/>
  <c r="F94" i="10"/>
  <c r="P94" i="10"/>
  <c r="S86" i="10"/>
  <c r="G94" i="10"/>
  <c r="J94" i="10"/>
  <c r="S87" i="10"/>
  <c r="U86" i="10"/>
  <c r="V86" i="9"/>
  <c r="N94" i="10"/>
  <c r="S90" i="10"/>
  <c r="U87" i="10"/>
  <c r="V87" i="9"/>
  <c r="L94" i="10"/>
  <c r="V90" i="9"/>
  <c r="V91" i="9"/>
  <c r="U91" i="10"/>
  <c r="U73" i="10"/>
  <c r="S73" i="10"/>
  <c r="S22" i="10" l="1"/>
  <c r="V19" i="10"/>
  <c r="V22" i="10" s="1"/>
  <c r="V22" i="9"/>
  <c r="U22" i="10"/>
  <c r="V90" i="10"/>
  <c r="V88" i="10"/>
  <c r="V86" i="10"/>
  <c r="V87" i="10"/>
  <c r="V73" i="10"/>
  <c r="V91" i="10"/>
  <c r="G47" i="6"/>
  <c r="G157" i="6" s="1"/>
  <c r="I47" i="6"/>
  <c r="I157" i="6" s="1"/>
  <c r="K47" i="6"/>
  <c r="K157" i="6" s="1"/>
  <c r="M47" i="6"/>
  <c r="M157" i="6" s="1"/>
  <c r="S33" i="7" l="1"/>
  <c r="U33" i="8" s="1"/>
  <c r="S40" i="7"/>
  <c r="V40" i="7" s="1"/>
  <c r="S40" i="10"/>
  <c r="O41" i="10"/>
  <c r="S39" i="7"/>
  <c r="V39" i="7" s="1"/>
  <c r="S38" i="8"/>
  <c r="U38" i="9" s="1"/>
  <c r="S38" i="7"/>
  <c r="V38" i="7" s="1"/>
  <c r="S38" i="10"/>
  <c r="S38" i="9"/>
  <c r="U38" i="10" s="1"/>
  <c r="S37" i="7"/>
  <c r="V37" i="7" s="1"/>
  <c r="S36" i="10"/>
  <c r="S36" i="8"/>
  <c r="U36" i="9" s="1"/>
  <c r="S36" i="7"/>
  <c r="V36" i="7" s="1"/>
  <c r="S36" i="9"/>
  <c r="U36" i="10" s="1"/>
  <c r="S35" i="7"/>
  <c r="U35" i="8" s="1"/>
  <c r="K41" i="10"/>
  <c r="S34" i="7"/>
  <c r="S32" i="7"/>
  <c r="P41" i="9"/>
  <c r="P41" i="10"/>
  <c r="S31" i="8"/>
  <c r="U31" i="9" s="1"/>
  <c r="K41" i="7"/>
  <c r="I41" i="8"/>
  <c r="S31" i="10"/>
  <c r="K41" i="9"/>
  <c r="M41" i="8"/>
  <c r="O41" i="8"/>
  <c r="J41" i="8"/>
  <c r="M41" i="7"/>
  <c r="N41" i="7"/>
  <c r="M41" i="10"/>
  <c r="H41" i="7"/>
  <c r="N41" i="10"/>
  <c r="I41" i="9"/>
  <c r="L41" i="7"/>
  <c r="S31" i="9"/>
  <c r="N41" i="9"/>
  <c r="M41" i="9"/>
  <c r="P41" i="7"/>
  <c r="G41" i="7"/>
  <c r="L41" i="8"/>
  <c r="L41" i="10"/>
  <c r="E41" i="7"/>
  <c r="L41" i="9"/>
  <c r="P41" i="8"/>
  <c r="J41" i="10"/>
  <c r="I41" i="10"/>
  <c r="S31" i="7"/>
  <c r="N41" i="8"/>
  <c r="O41" i="7"/>
  <c r="J41" i="7"/>
  <c r="O41" i="9"/>
  <c r="F41" i="7"/>
  <c r="J41" i="9"/>
  <c r="K41" i="8"/>
  <c r="I41" i="7"/>
  <c r="U37" i="8" l="1"/>
  <c r="V33" i="7"/>
  <c r="F41" i="8"/>
  <c r="U38" i="8"/>
  <c r="V38" i="8" s="1"/>
  <c r="V36" i="10"/>
  <c r="V38" i="10"/>
  <c r="S40" i="8"/>
  <c r="U40" i="9" s="1"/>
  <c r="S40" i="9"/>
  <c r="U40" i="10" s="1"/>
  <c r="V40" i="10" s="1"/>
  <c r="E41" i="8"/>
  <c r="U34" i="8"/>
  <c r="V34" i="7"/>
  <c r="V35" i="7"/>
  <c r="U39" i="8"/>
  <c r="U36" i="8"/>
  <c r="V36" i="8" s="1"/>
  <c r="U40" i="8"/>
  <c r="S32" i="8"/>
  <c r="U32" i="9" s="1"/>
  <c r="S34" i="8"/>
  <c r="U34" i="9" s="1"/>
  <c r="S35" i="8"/>
  <c r="U35" i="9" s="1"/>
  <c r="H41" i="8"/>
  <c r="S33" i="8"/>
  <c r="U33" i="9" s="1"/>
  <c r="S37" i="8"/>
  <c r="U37" i="9" s="1"/>
  <c r="S39" i="8"/>
  <c r="U39" i="9" s="1"/>
  <c r="V38" i="9"/>
  <c r="V36" i="9"/>
  <c r="G41" i="8"/>
  <c r="U32" i="8"/>
  <c r="V32" i="7"/>
  <c r="U31" i="8"/>
  <c r="V31" i="7"/>
  <c r="S41" i="7"/>
  <c r="U31" i="10"/>
  <c r="V31" i="9"/>
  <c r="V32" i="8" l="1"/>
  <c r="V33" i="8"/>
  <c r="V40" i="8"/>
  <c r="S52" i="7"/>
  <c r="S49" i="7"/>
  <c r="V40" i="9"/>
  <c r="S55" i="7"/>
  <c r="V35" i="8"/>
  <c r="V34" i="8"/>
  <c r="U41" i="9"/>
  <c r="V39" i="8"/>
  <c r="S34" i="9"/>
  <c r="U34" i="10" s="1"/>
  <c r="S34" i="10"/>
  <c r="S33" i="9"/>
  <c r="V33" i="9" s="1"/>
  <c r="S33" i="10"/>
  <c r="F41" i="10"/>
  <c r="S39" i="10"/>
  <c r="S37" i="9"/>
  <c r="U37" i="10" s="1"/>
  <c r="S37" i="10"/>
  <c r="S35" i="10"/>
  <c r="H41" i="10"/>
  <c r="S32" i="10"/>
  <c r="S41" i="8"/>
  <c r="V37" i="8"/>
  <c r="F41" i="9"/>
  <c r="S39" i="9"/>
  <c r="U39" i="10" s="1"/>
  <c r="E41" i="9"/>
  <c r="S32" i="9"/>
  <c r="V32" i="9" s="1"/>
  <c r="H41" i="9"/>
  <c r="G41" i="9"/>
  <c r="S35" i="9"/>
  <c r="S54" i="7"/>
  <c r="S48" i="7"/>
  <c r="S51" i="7"/>
  <c r="S50" i="7"/>
  <c r="S53" i="7"/>
  <c r="S47" i="7"/>
  <c r="V41" i="7"/>
  <c r="U41" i="8"/>
  <c r="V31" i="8"/>
  <c r="V31" i="10"/>
  <c r="U52" i="8" l="1"/>
  <c r="U50" i="8"/>
  <c r="V55" i="7"/>
  <c r="U53" i="8"/>
  <c r="U49" i="8"/>
  <c r="U33" i="10"/>
  <c r="V33" i="10" s="1"/>
  <c r="V49" i="7"/>
  <c r="V39" i="9"/>
  <c r="U55" i="8"/>
  <c r="S54" i="8"/>
  <c r="V52" i="7"/>
  <c r="S51" i="8"/>
  <c r="S48" i="8"/>
  <c r="V34" i="9"/>
  <c r="G41" i="10"/>
  <c r="U47" i="8"/>
  <c r="V47" i="7"/>
  <c r="V50" i="7"/>
  <c r="S53" i="8"/>
  <c r="V39" i="10"/>
  <c r="E41" i="10"/>
  <c r="V37" i="10"/>
  <c r="V37" i="9"/>
  <c r="S41" i="10"/>
  <c r="V34" i="10"/>
  <c r="S50" i="8"/>
  <c r="S49" i="8"/>
  <c r="U35" i="10"/>
  <c r="V35" i="10" s="1"/>
  <c r="S52" i="8"/>
  <c r="U32" i="10"/>
  <c r="S41" i="9"/>
  <c r="V35" i="9"/>
  <c r="S55" i="8"/>
  <c r="S47" i="8"/>
  <c r="V53" i="7"/>
  <c r="U51" i="8"/>
  <c r="V51" i="7"/>
  <c r="U48" i="8"/>
  <c r="V48" i="7"/>
  <c r="V54" i="7"/>
  <c r="U54" i="8"/>
  <c r="V41" i="8"/>
  <c r="V50" i="8" l="1"/>
  <c r="V53" i="8"/>
  <c r="U54" i="9"/>
  <c r="V51" i="8"/>
  <c r="V48" i="8"/>
  <c r="U53" i="9"/>
  <c r="V54" i="8"/>
  <c r="U51" i="9"/>
  <c r="U48" i="9"/>
  <c r="V41" i="9"/>
  <c r="S53" i="10"/>
  <c r="S51" i="10"/>
  <c r="S54" i="10"/>
  <c r="S49" i="10"/>
  <c r="S55" i="10"/>
  <c r="S48" i="10"/>
  <c r="S50" i="10"/>
  <c r="S47" i="10"/>
  <c r="S52" i="10"/>
  <c r="S48" i="9"/>
  <c r="S49" i="9"/>
  <c r="S54" i="9"/>
  <c r="S53" i="9"/>
  <c r="S51" i="9"/>
  <c r="S50" i="9"/>
  <c r="S47" i="9"/>
  <c r="S55" i="9"/>
  <c r="S52" i="9"/>
  <c r="U55" i="9"/>
  <c r="V55" i="8"/>
  <c r="U52" i="9"/>
  <c r="V52" i="8"/>
  <c r="V32" i="10"/>
  <c r="V41" i="10" s="1"/>
  <c r="U41" i="10"/>
  <c r="U47" i="9"/>
  <c r="U50" i="9"/>
  <c r="U49" i="9"/>
  <c r="V49" i="8"/>
  <c r="V47" i="8"/>
  <c r="U47" i="10" l="1"/>
  <c r="V47" i="10" s="1"/>
  <c r="U53" i="10"/>
  <c r="V53" i="10" s="1"/>
  <c r="U54" i="10"/>
  <c r="V54" i="10" s="1"/>
  <c r="V49" i="9"/>
  <c r="U51" i="10"/>
  <c r="V51" i="10" s="1"/>
  <c r="V54" i="9"/>
  <c r="V52" i="9"/>
  <c r="V48" i="9"/>
  <c r="U48" i="10"/>
  <c r="V48" i="10" s="1"/>
  <c r="V51" i="9"/>
  <c r="V50" i="9"/>
  <c r="V53" i="9"/>
  <c r="V47" i="9"/>
  <c r="U49" i="10"/>
  <c r="V49" i="10" s="1"/>
  <c r="U50" i="10"/>
  <c r="V50" i="10" s="1"/>
  <c r="V55" i="9"/>
  <c r="U52" i="10"/>
  <c r="V52" i="10" s="1"/>
  <c r="U55" i="10"/>
  <c r="V55" i="10" s="1"/>
  <c r="K96" i="3" l="1"/>
  <c r="F59" i="7" l="1"/>
  <c r="F59" i="8" s="1"/>
  <c r="F59" i="9" s="1"/>
  <c r="F59" i="10" s="1"/>
  <c r="E59" i="7"/>
  <c r="E59" i="8" s="1"/>
  <c r="E59" i="9" s="1"/>
  <c r="E59" i="10" s="1"/>
  <c r="O59" i="7"/>
  <c r="O59" i="8" s="1"/>
  <c r="O59" i="9" s="1"/>
  <c r="O59" i="10" s="1"/>
  <c r="N59" i="7"/>
  <c r="N59" i="8" s="1"/>
  <c r="N59" i="9" s="1"/>
  <c r="N59" i="10" s="1"/>
  <c r="M59" i="7"/>
  <c r="M59" i="8" s="1"/>
  <c r="M59" i="9" s="1"/>
  <c r="M59" i="10" s="1"/>
  <c r="L59" i="7"/>
  <c r="L59" i="8" s="1"/>
  <c r="L59" i="9" s="1"/>
  <c r="L59" i="10" s="1"/>
  <c r="H59" i="7"/>
  <c r="H59" i="8" s="1"/>
  <c r="H59" i="9" s="1"/>
  <c r="H59" i="10" s="1"/>
  <c r="G59" i="7"/>
  <c r="G59" i="8" s="1"/>
  <c r="G59" i="9" s="1"/>
  <c r="G59" i="10" s="1"/>
  <c r="K59" i="7"/>
  <c r="K59" i="8" s="1"/>
  <c r="K59" i="9" s="1"/>
  <c r="K59" i="10" s="1"/>
  <c r="I59" i="7"/>
  <c r="I59" i="8" s="1"/>
  <c r="I59" i="9" s="1"/>
  <c r="I59" i="10" s="1"/>
  <c r="J59" i="7"/>
  <c r="J59" i="8" s="1"/>
  <c r="J59" i="9" s="1"/>
  <c r="J59" i="10" s="1"/>
  <c r="F43" i="7"/>
  <c r="F43" i="8" s="1"/>
  <c r="F43" i="9" s="1"/>
  <c r="F43" i="10" s="1"/>
  <c r="O43" i="7"/>
  <c r="O43" i="8" s="1"/>
  <c r="O43" i="9" s="1"/>
  <c r="O43" i="10" s="1"/>
  <c r="H43" i="7"/>
  <c r="H43" i="8" s="1"/>
  <c r="H43" i="9" s="1"/>
  <c r="H43" i="10" s="1"/>
  <c r="G43" i="7"/>
  <c r="G43" i="8" s="1"/>
  <c r="G43" i="9" s="1"/>
  <c r="G43" i="10" s="1"/>
  <c r="N43" i="7"/>
  <c r="N43" i="8" s="1"/>
  <c r="N43" i="9" s="1"/>
  <c r="N43" i="10" s="1"/>
  <c r="M43" i="7"/>
  <c r="M43" i="8" s="1"/>
  <c r="M43" i="9" s="1"/>
  <c r="M43" i="10" s="1"/>
  <c r="I43" i="7"/>
  <c r="I43" i="8" s="1"/>
  <c r="I43" i="9" s="1"/>
  <c r="I43" i="10" s="1"/>
  <c r="L43" i="7"/>
  <c r="L43" i="8" s="1"/>
  <c r="L43" i="9" s="1"/>
  <c r="L43" i="10" s="1"/>
  <c r="K43" i="7"/>
  <c r="K43" i="8" s="1"/>
  <c r="K43" i="9" s="1"/>
  <c r="K43" i="10" s="1"/>
  <c r="J43" i="7"/>
  <c r="J43" i="8" s="1"/>
  <c r="J43" i="9" s="1"/>
  <c r="J43" i="10" s="1"/>
  <c r="K99" i="3"/>
  <c r="E43" i="7"/>
  <c r="E43" i="8" s="1"/>
  <c r="E43" i="9" s="1"/>
  <c r="E43" i="10" s="1"/>
  <c r="K121" i="3"/>
  <c r="P43" i="7" l="1"/>
  <c r="P43" i="8" s="1"/>
  <c r="P43" i="9" s="1"/>
  <c r="P43" i="10" s="1"/>
  <c r="P59" i="7"/>
  <c r="P59" i="8" s="1"/>
  <c r="P59" i="9" s="1"/>
  <c r="P59" i="10" s="1"/>
  <c r="K122" i="3"/>
  <c r="K115" i="1"/>
  <c r="K117" i="1" s="1"/>
  <c r="K120" i="1" s="1"/>
  <c r="K138" i="1" s="1"/>
  <c r="S59" i="1"/>
  <c r="F59" i="17" s="1"/>
  <c r="G28" i="18" s="1"/>
  <c r="F28" i="18" s="1"/>
  <c r="S43" i="1"/>
  <c r="F43" i="17" s="1"/>
  <c r="G23" i="18" s="1"/>
  <c r="F23" i="18" s="1"/>
  <c r="X43" i="1" l="1"/>
  <c r="AG96" i="3" s="1"/>
  <c r="AH96" i="3" s="1"/>
  <c r="X59" i="1"/>
  <c r="AG118" i="3" s="1"/>
  <c r="AH118" i="3" s="1"/>
  <c r="J46" i="7"/>
  <c r="J46" i="8" s="1"/>
  <c r="J46" i="9" s="1"/>
  <c r="J46" i="10" s="1"/>
  <c r="E46" i="7"/>
  <c r="S46" i="1"/>
  <c r="K46" i="7"/>
  <c r="K46" i="8" s="1"/>
  <c r="K46" i="9" s="1"/>
  <c r="K46" i="10" s="1"/>
  <c r="L46" i="7"/>
  <c r="L46" i="8" s="1"/>
  <c r="L46" i="9" s="1"/>
  <c r="L46" i="10" s="1"/>
  <c r="M46" i="7"/>
  <c r="M46" i="8" s="1"/>
  <c r="M46" i="9" s="1"/>
  <c r="M46" i="10" s="1"/>
  <c r="F46" i="7"/>
  <c r="F46" i="8" s="1"/>
  <c r="F46" i="9" s="1"/>
  <c r="F46" i="10" s="1"/>
  <c r="H46" i="7"/>
  <c r="H46" i="8" s="1"/>
  <c r="H46" i="9" s="1"/>
  <c r="H46" i="10" s="1"/>
  <c r="H115" i="1"/>
  <c r="H117" i="1" s="1"/>
  <c r="H120" i="1" s="1"/>
  <c r="H138" i="1" s="1"/>
  <c r="N46" i="7"/>
  <c r="N46" i="8" s="1"/>
  <c r="N46" i="9" s="1"/>
  <c r="N46" i="10" s="1"/>
  <c r="O46" i="7"/>
  <c r="O46" i="8" s="1"/>
  <c r="O46" i="9" s="1"/>
  <c r="O46" i="10" s="1"/>
  <c r="G46" i="7"/>
  <c r="G46" i="8" s="1"/>
  <c r="G46" i="9" s="1"/>
  <c r="G46" i="10" s="1"/>
  <c r="P46" i="7"/>
  <c r="P46" i="8" s="1"/>
  <c r="P46" i="9" s="1"/>
  <c r="P46" i="10" s="1"/>
  <c r="I46" i="7"/>
  <c r="I46" i="8" s="1"/>
  <c r="I46" i="9" s="1"/>
  <c r="I46" i="10" s="1"/>
  <c r="S43" i="7"/>
  <c r="S59" i="7"/>
  <c r="H74" i="8"/>
  <c r="I74" i="8"/>
  <c r="K74" i="8"/>
  <c r="M115" i="1"/>
  <c r="L115" i="1"/>
  <c r="L117" i="1" s="1"/>
  <c r="L120" i="1" s="1"/>
  <c r="L138" i="1" s="1"/>
  <c r="F115" i="1"/>
  <c r="F117" i="1" s="1"/>
  <c r="F120" i="1" s="1"/>
  <c r="F138" i="1" s="1"/>
  <c r="P115" i="1"/>
  <c r="P117" i="1" s="1"/>
  <c r="P120" i="1" s="1"/>
  <c r="P138" i="1" s="1"/>
  <c r="G115" i="1"/>
  <c r="G117" i="1" s="1"/>
  <c r="G120" i="1" s="1"/>
  <c r="G138" i="1" s="1"/>
  <c r="J115" i="1"/>
  <c r="J117" i="1" s="1"/>
  <c r="J120" i="1" s="1"/>
  <c r="J138" i="1" s="1"/>
  <c r="O115" i="1"/>
  <c r="O117" i="1" s="1"/>
  <c r="O120" i="1" s="1"/>
  <c r="O138" i="1" s="1"/>
  <c r="AD43" i="1"/>
  <c r="U43" i="7"/>
  <c r="AA59" i="1"/>
  <c r="AD59" i="1"/>
  <c r="U59" i="7"/>
  <c r="S62" i="1" l="1"/>
  <c r="J23" i="11" s="1"/>
  <c r="K23" i="11" s="1"/>
  <c r="N46" i="17"/>
  <c r="G54" i="18" s="1"/>
  <c r="F54" i="18" s="1"/>
  <c r="M117" i="1"/>
  <c r="M120" i="1" s="1"/>
  <c r="M138" i="1" s="1"/>
  <c r="U62" i="1"/>
  <c r="E23" i="11" s="1"/>
  <c r="X46" i="1"/>
  <c r="M62" i="7"/>
  <c r="N62" i="7"/>
  <c r="L62" i="8"/>
  <c r="L62" i="7"/>
  <c r="H62" i="7"/>
  <c r="P62" i="7"/>
  <c r="G62" i="8"/>
  <c r="F62" i="7"/>
  <c r="I62" i="7"/>
  <c r="G62" i="7"/>
  <c r="O62" i="7"/>
  <c r="M62" i="8"/>
  <c r="J62" i="7"/>
  <c r="AD46" i="1"/>
  <c r="AD62" i="1" s="1"/>
  <c r="U46" i="7"/>
  <c r="U62" i="7" s="1"/>
  <c r="E46" i="8"/>
  <c r="S46" i="7"/>
  <c r="U46" i="8" s="1"/>
  <c r="E62" i="7"/>
  <c r="K62" i="7"/>
  <c r="V59" i="7"/>
  <c r="U43" i="8"/>
  <c r="S59" i="9"/>
  <c r="I62" i="8"/>
  <c r="J62" i="8"/>
  <c r="S59" i="8"/>
  <c r="M62" i="10"/>
  <c r="M62" i="9"/>
  <c r="P62" i="8"/>
  <c r="N62" i="8"/>
  <c r="U59" i="8"/>
  <c r="G62" i="10"/>
  <c r="G62" i="9"/>
  <c r="O62" i="8"/>
  <c r="L62" i="10"/>
  <c r="L62" i="9"/>
  <c r="F62" i="8"/>
  <c r="H62" i="8"/>
  <c r="S43" i="8"/>
  <c r="K62" i="8"/>
  <c r="F74" i="8"/>
  <c r="O74" i="8"/>
  <c r="J74" i="8"/>
  <c r="G74" i="8"/>
  <c r="L74" i="8"/>
  <c r="N74" i="8"/>
  <c r="M74" i="8"/>
  <c r="K74" i="10"/>
  <c r="K74" i="9"/>
  <c r="I74" i="10"/>
  <c r="I74" i="9"/>
  <c r="P74" i="8"/>
  <c r="H74" i="10"/>
  <c r="H74" i="9"/>
  <c r="E74" i="8"/>
  <c r="S67" i="7"/>
  <c r="F62" i="17"/>
  <c r="AO43" i="17"/>
  <c r="AO59" i="17"/>
  <c r="AQ59" i="17" s="1"/>
  <c r="AA43" i="1"/>
  <c r="V43" i="7"/>
  <c r="E39" i="16" l="1"/>
  <c r="G20" i="16"/>
  <c r="AG100" i="3"/>
  <c r="AH100" i="3" s="1"/>
  <c r="X62" i="1"/>
  <c r="E117" i="1"/>
  <c r="G23" i="11"/>
  <c r="F32" i="11"/>
  <c r="F34" i="11" s="1"/>
  <c r="F37" i="11" s="1"/>
  <c r="E68" i="6"/>
  <c r="E158" i="6" s="1"/>
  <c r="S62" i="7"/>
  <c r="G68" i="6"/>
  <c r="G158" i="6" s="1"/>
  <c r="E46" i="9"/>
  <c r="S46" i="8"/>
  <c r="U46" i="9" s="1"/>
  <c r="E62" i="8"/>
  <c r="V46" i="7"/>
  <c r="V62" i="7" s="1"/>
  <c r="AA46" i="1"/>
  <c r="AA62" i="1" s="1"/>
  <c r="U62" i="8"/>
  <c r="V43" i="8"/>
  <c r="H62" i="10"/>
  <c r="H62" i="9"/>
  <c r="N62" i="10"/>
  <c r="N62" i="9"/>
  <c r="P62" i="10"/>
  <c r="P62" i="9"/>
  <c r="F62" i="10"/>
  <c r="F62" i="9"/>
  <c r="U59" i="10"/>
  <c r="U59" i="9"/>
  <c r="V59" i="9" s="1"/>
  <c r="O62" i="10"/>
  <c r="O62" i="9"/>
  <c r="J62" i="10"/>
  <c r="J62" i="9"/>
  <c r="S43" i="9"/>
  <c r="K62" i="10"/>
  <c r="K62" i="9"/>
  <c r="V59" i="8"/>
  <c r="U43" i="9"/>
  <c r="I62" i="10"/>
  <c r="I62" i="9"/>
  <c r="G74" i="10"/>
  <c r="G74" i="9"/>
  <c r="J74" i="10"/>
  <c r="J74" i="9"/>
  <c r="L74" i="10"/>
  <c r="L74" i="9"/>
  <c r="M74" i="10"/>
  <c r="M74" i="9"/>
  <c r="N74" i="10"/>
  <c r="N74" i="9"/>
  <c r="P74" i="10"/>
  <c r="P74" i="9"/>
  <c r="O74" i="10"/>
  <c r="O74" i="9"/>
  <c r="F74" i="10"/>
  <c r="F74" i="9"/>
  <c r="V67" i="7"/>
  <c r="U67" i="8"/>
  <c r="E74" i="9"/>
  <c r="S67" i="8"/>
  <c r="AQ43" i="17"/>
  <c r="F115" i="17"/>
  <c r="E120" i="1" l="1"/>
  <c r="E138" i="1" s="1"/>
  <c r="E141" i="1" s="1"/>
  <c r="F139" i="1" s="1"/>
  <c r="F141" i="1" s="1"/>
  <c r="G139" i="1" s="1"/>
  <c r="G141" i="1" s="1"/>
  <c r="H139" i="1" s="1"/>
  <c r="H141" i="1" s="1"/>
  <c r="I139" i="1" s="1"/>
  <c r="H20" i="16"/>
  <c r="S62" i="8"/>
  <c r="N62" i="17"/>
  <c r="N115" i="17" s="1"/>
  <c r="N117" i="17" s="1"/>
  <c r="AO46" i="17"/>
  <c r="V46" i="8"/>
  <c r="V62" i="8" s="1"/>
  <c r="E46" i="10"/>
  <c r="S46" i="9"/>
  <c r="U46" i="10" s="1"/>
  <c r="E62" i="9"/>
  <c r="S43" i="10"/>
  <c r="K68" i="6"/>
  <c r="K158" i="6" s="1"/>
  <c r="U43" i="10"/>
  <c r="S59" i="10"/>
  <c r="V43" i="9"/>
  <c r="U62" i="9"/>
  <c r="I68" i="6"/>
  <c r="I158" i="6" s="1"/>
  <c r="U67" i="9"/>
  <c r="S67" i="9"/>
  <c r="V67" i="8"/>
  <c r="F117" i="17"/>
  <c r="S62" i="9" l="1"/>
  <c r="S46" i="10"/>
  <c r="S62" i="10" s="1"/>
  <c r="E62" i="10"/>
  <c r="V46" i="9"/>
  <c r="V62" i="9" s="1"/>
  <c r="AQ46" i="17"/>
  <c r="AO62" i="17"/>
  <c r="AQ62" i="17" s="1"/>
  <c r="V43" i="10"/>
  <c r="U62" i="10"/>
  <c r="M68" i="6"/>
  <c r="M158" i="6" s="1"/>
  <c r="V59" i="10"/>
  <c r="S67" i="10"/>
  <c r="E74" i="10"/>
  <c r="U67" i="10"/>
  <c r="V67" i="9"/>
  <c r="AO115" i="17" l="1"/>
  <c r="AO117" i="17" s="1"/>
  <c r="V46" i="10"/>
  <c r="V62" i="10" s="1"/>
  <c r="V67" i="10"/>
  <c r="L80" i="7"/>
  <c r="L115" i="7" s="1"/>
  <c r="L117" i="7" s="1"/>
  <c r="L120" i="7" s="1"/>
  <c r="L138" i="7" s="1"/>
  <c r="P80" i="7"/>
  <c r="P115" i="7" s="1"/>
  <c r="P117" i="7" s="1"/>
  <c r="P120" i="7" s="1"/>
  <c r="P138" i="7" s="1"/>
  <c r="G80" i="7"/>
  <c r="M80" i="7"/>
  <c r="J80" i="7"/>
  <c r="J115" i="7" s="1"/>
  <c r="J117" i="7" s="1"/>
  <c r="J120" i="7" s="1"/>
  <c r="J138" i="7" s="1"/>
  <c r="G80" i="8" l="1"/>
  <c r="G115" i="8" s="1"/>
  <c r="G117" i="8" s="1"/>
  <c r="G120" i="8" s="1"/>
  <c r="G138" i="8" s="1"/>
  <c r="K80" i="8"/>
  <c r="K115" i="8" s="1"/>
  <c r="K117" i="8" s="1"/>
  <c r="K120" i="8" s="1"/>
  <c r="K138" i="8" s="1"/>
  <c r="E80" i="8"/>
  <c r="E115" i="8" s="1"/>
  <c r="E117" i="8" s="1"/>
  <c r="E120" i="8" s="1"/>
  <c r="H80" i="9"/>
  <c r="H115" i="9" s="1"/>
  <c r="H117" i="9" s="1"/>
  <c r="H120" i="9" s="1"/>
  <c r="H138" i="9" s="1"/>
  <c r="H80" i="7"/>
  <c r="H115" i="7" s="1"/>
  <c r="H117" i="7" s="1"/>
  <c r="H120" i="7" s="1"/>
  <c r="H138" i="7" s="1"/>
  <c r="I80" i="8"/>
  <c r="G115" i="7"/>
  <c r="G117" i="7" s="1"/>
  <c r="G120" i="7" s="1"/>
  <c r="G138" i="7" s="1"/>
  <c r="I80" i="7"/>
  <c r="F80" i="7"/>
  <c r="F115" i="7" s="1"/>
  <c r="F117" i="7" s="1"/>
  <c r="F120" i="7" s="1"/>
  <c r="F138" i="7" s="1"/>
  <c r="O80" i="7"/>
  <c r="O115" i="7" s="1"/>
  <c r="O117" i="7" s="1"/>
  <c r="O120" i="7" s="1"/>
  <c r="O138" i="7" s="1"/>
  <c r="E80" i="7"/>
  <c r="E115" i="7" s="1"/>
  <c r="E117" i="7" s="1"/>
  <c r="E120" i="7" s="1"/>
  <c r="L80" i="9"/>
  <c r="L115" i="9" s="1"/>
  <c r="L117" i="9" s="1"/>
  <c r="L120" i="9" s="1"/>
  <c r="L138" i="9" s="1"/>
  <c r="K80" i="7"/>
  <c r="K115" i="7" s="1"/>
  <c r="K117" i="7" s="1"/>
  <c r="K120" i="7" s="1"/>
  <c r="K138" i="7" s="1"/>
  <c r="S79" i="7"/>
  <c r="M115" i="7"/>
  <c r="M117" i="7" s="1"/>
  <c r="M120" i="7" s="1"/>
  <c r="M138" i="7" s="1"/>
  <c r="N80" i="7"/>
  <c r="L80" i="8"/>
  <c r="L115" i="8" s="1"/>
  <c r="L117" i="8" s="1"/>
  <c r="L120" i="8" s="1"/>
  <c r="L138" i="8" s="1"/>
  <c r="H80" i="8" l="1"/>
  <c r="H115" i="8" s="1"/>
  <c r="H117" i="8" s="1"/>
  <c r="H120" i="8" s="1"/>
  <c r="H138" i="8" s="1"/>
  <c r="H80" i="10"/>
  <c r="P80" i="10"/>
  <c r="P115" i="10" s="1"/>
  <c r="P117" i="10" s="1"/>
  <c r="P120" i="10" s="1"/>
  <c r="P138" i="10" s="1"/>
  <c r="J80" i="8"/>
  <c r="J115" i="8" s="1"/>
  <c r="J117" i="8" s="1"/>
  <c r="J120" i="8" s="1"/>
  <c r="J138" i="8" s="1"/>
  <c r="J80" i="9"/>
  <c r="J115" i="9" s="1"/>
  <c r="J117" i="9" s="1"/>
  <c r="J120" i="9" s="1"/>
  <c r="J138" i="9" s="1"/>
  <c r="P80" i="8"/>
  <c r="P115" i="8" s="1"/>
  <c r="P117" i="8" s="1"/>
  <c r="P120" i="8" s="1"/>
  <c r="P138" i="8" s="1"/>
  <c r="S79" i="8"/>
  <c r="S80" i="8" s="1"/>
  <c r="G80" i="9"/>
  <c r="G115" i="9" s="1"/>
  <c r="G117" i="9" s="1"/>
  <c r="G120" i="9" s="1"/>
  <c r="G138" i="9" s="1"/>
  <c r="E138" i="7"/>
  <c r="O80" i="8"/>
  <c r="O115" i="8" s="1"/>
  <c r="O117" i="8" s="1"/>
  <c r="O120" i="8" s="1"/>
  <c r="O138" i="8" s="1"/>
  <c r="F80" i="8"/>
  <c r="F115" i="8" s="1"/>
  <c r="F117" i="8" s="1"/>
  <c r="F120" i="8" s="1"/>
  <c r="F138" i="8" s="1"/>
  <c r="L80" i="10"/>
  <c r="L115" i="10" s="1"/>
  <c r="L117" i="10" s="1"/>
  <c r="L120" i="10" s="1"/>
  <c r="L138" i="10" s="1"/>
  <c r="V79" i="7"/>
  <c r="S80" i="7"/>
  <c r="U79" i="8"/>
  <c r="K80" i="9"/>
  <c r="K115" i="9" s="1"/>
  <c r="K117" i="9" s="1"/>
  <c r="K120" i="9" s="1"/>
  <c r="K138" i="9" s="1"/>
  <c r="M80" i="8"/>
  <c r="M115" i="8" s="1"/>
  <c r="M117" i="8" s="1"/>
  <c r="M120" i="8" s="1"/>
  <c r="M138" i="8" s="1"/>
  <c r="N80" i="8"/>
  <c r="E80" i="9"/>
  <c r="E115" i="9" s="1"/>
  <c r="E117" i="9" s="1"/>
  <c r="E120" i="9" s="1"/>
  <c r="I80" i="9"/>
  <c r="U79" i="9" l="1"/>
  <c r="U80" i="9" s="1"/>
  <c r="I86" i="6"/>
  <c r="J80" i="10"/>
  <c r="P80" i="9"/>
  <c r="P115" i="9" s="1"/>
  <c r="P117" i="9" s="1"/>
  <c r="P120" i="9" s="1"/>
  <c r="P138" i="9" s="1"/>
  <c r="H115" i="10"/>
  <c r="H117" i="10" s="1"/>
  <c r="H120" i="10" s="1"/>
  <c r="H138" i="10" s="1"/>
  <c r="E80" i="10"/>
  <c r="E115" i="10" s="1"/>
  <c r="E117" i="10" s="1"/>
  <c r="E120" i="10" s="1"/>
  <c r="O80" i="9"/>
  <c r="O115" i="9" s="1"/>
  <c r="O117" i="9" s="1"/>
  <c r="O120" i="9" s="1"/>
  <c r="O138" i="9" s="1"/>
  <c r="I80" i="10"/>
  <c r="M80" i="9"/>
  <c r="M115" i="9" s="1"/>
  <c r="M117" i="9" s="1"/>
  <c r="M120" i="9" s="1"/>
  <c r="M138" i="9" s="1"/>
  <c r="F80" i="9"/>
  <c r="F115" i="9" s="1"/>
  <c r="F117" i="9" s="1"/>
  <c r="F120" i="9" s="1"/>
  <c r="N80" i="9"/>
  <c r="K80" i="10"/>
  <c r="K115" i="10" s="1"/>
  <c r="K117" i="10" s="1"/>
  <c r="K120" i="10" s="1"/>
  <c r="K138" i="10" s="1"/>
  <c r="G80" i="10"/>
  <c r="G115" i="10" s="1"/>
  <c r="G117" i="10" s="1"/>
  <c r="G120" i="10" s="1"/>
  <c r="G138" i="10" s="1"/>
  <c r="V79" i="8"/>
  <c r="U80" i="8"/>
  <c r="G86" i="6"/>
  <c r="V80" i="7"/>
  <c r="S79" i="9"/>
  <c r="V79" i="9" l="1"/>
  <c r="V80" i="9" s="1"/>
  <c r="J115" i="10"/>
  <c r="J117" i="10" s="1"/>
  <c r="J120" i="10" s="1"/>
  <c r="J138" i="10" s="1"/>
  <c r="S79" i="10"/>
  <c r="S80" i="10" s="1"/>
  <c r="F138" i="9"/>
  <c r="M80" i="10"/>
  <c r="M115" i="10" s="1"/>
  <c r="M117" i="10" s="1"/>
  <c r="M120" i="10" s="1"/>
  <c r="M138" i="10" s="1"/>
  <c r="U79" i="10"/>
  <c r="S80" i="9"/>
  <c r="O80" i="10"/>
  <c r="O115" i="10" s="1"/>
  <c r="O117" i="10" s="1"/>
  <c r="O120" i="10" s="1"/>
  <c r="O138" i="10" s="1"/>
  <c r="F80" i="10"/>
  <c r="F115" i="10" s="1"/>
  <c r="F117" i="10" s="1"/>
  <c r="F120" i="10" s="1"/>
  <c r="F138" i="10" s="1"/>
  <c r="N80" i="10"/>
  <c r="V80" i="8"/>
  <c r="M86" i="6" l="1"/>
  <c r="K86" i="6"/>
  <c r="V79" i="10"/>
  <c r="U80" i="10"/>
  <c r="V80" i="10" l="1"/>
  <c r="S64" i="8" l="1"/>
  <c r="S64" i="7"/>
  <c r="S64" i="9" l="1"/>
  <c r="V64" i="7"/>
  <c r="U64" i="8"/>
  <c r="U64" i="9"/>
  <c r="V64" i="9" l="1"/>
  <c r="V64" i="8"/>
  <c r="S64" i="10"/>
  <c r="U64" i="10"/>
  <c r="V64" i="10" l="1"/>
  <c r="S70" i="8" l="1"/>
  <c r="S70" i="7"/>
  <c r="S74" i="8" l="1"/>
  <c r="U70" i="9"/>
  <c r="V70" i="7"/>
  <c r="S74" i="7"/>
  <c r="U70" i="8"/>
  <c r="S70" i="9"/>
  <c r="G80" i="6" l="1"/>
  <c r="U70" i="10"/>
  <c r="S74" i="9"/>
  <c r="U74" i="8"/>
  <c r="V70" i="8"/>
  <c r="U74" i="9"/>
  <c r="V70" i="9"/>
  <c r="V74" i="7"/>
  <c r="I80" i="6"/>
  <c r="S70" i="10"/>
  <c r="U74" i="10" l="1"/>
  <c r="V70" i="10"/>
  <c r="S74" i="10"/>
  <c r="K80" i="6"/>
  <c r="V74" i="9"/>
  <c r="V74" i="8"/>
  <c r="M80" i="6" l="1"/>
  <c r="V74" i="10"/>
  <c r="I23" i="6"/>
  <c r="M23" i="6"/>
  <c r="K23" i="6"/>
  <c r="G23" i="6"/>
  <c r="S15" i="7" l="1"/>
  <c r="V15" i="7" s="1"/>
  <c r="V17" i="7" s="1"/>
  <c r="S17" i="7" l="1"/>
  <c r="U15" i="8"/>
  <c r="U17" i="8" s="1"/>
  <c r="S15" i="8"/>
  <c r="S17" i="8" l="1"/>
  <c r="U15" i="9"/>
  <c r="V15" i="8"/>
  <c r="V17" i="8" s="1"/>
  <c r="S15" i="9"/>
  <c r="U17" i="9" l="1"/>
  <c r="U15" i="10"/>
  <c r="U17" i="10" s="1"/>
  <c r="V15" i="9"/>
  <c r="V17" i="9" s="1"/>
  <c r="S17" i="9"/>
  <c r="S15" i="10"/>
  <c r="K100" i="6"/>
  <c r="I100" i="6"/>
  <c r="G100" i="6"/>
  <c r="M100" i="6"/>
  <c r="S92" i="7" l="1"/>
  <c r="S94" i="7" s="1"/>
  <c r="S92" i="8"/>
  <c r="V15" i="10"/>
  <c r="S17" i="10"/>
  <c r="V92" i="7" l="1"/>
  <c r="V94" i="7" s="1"/>
  <c r="U92" i="8"/>
  <c r="V92" i="8" s="1"/>
  <c r="V17" i="10"/>
  <c r="S92" i="9"/>
  <c r="U92" i="10" s="1"/>
  <c r="S94" i="8"/>
  <c r="U92" i="9"/>
  <c r="U94" i="8" l="1"/>
  <c r="S94" i="9"/>
  <c r="V92" i="9"/>
  <c r="U94" i="9"/>
  <c r="V94" i="8"/>
  <c r="U94" i="10"/>
  <c r="S92" i="10" l="1"/>
  <c r="V94" i="9"/>
  <c r="S99" i="7"/>
  <c r="V92" i="10" l="1"/>
  <c r="V94" i="10" s="1"/>
  <c r="S94" i="10"/>
  <c r="S99" i="8"/>
  <c r="U99" i="9" s="1"/>
  <c r="U99" i="8"/>
  <c r="V99" i="7"/>
  <c r="V99" i="8" l="1"/>
  <c r="S99" i="10" l="1"/>
  <c r="S99" i="9"/>
  <c r="V99" i="9" s="1"/>
  <c r="U99" i="10" l="1"/>
  <c r="V99" i="10" l="1"/>
  <c r="T261" i="4" l="1"/>
  <c r="N100" i="1" s="1"/>
  <c r="N103" i="1" s="1"/>
  <c r="W261" i="4" l="1"/>
  <c r="X261" i="4" s="1"/>
  <c r="N115" i="1"/>
  <c r="N117" i="1" s="1"/>
  <c r="N120" i="1" s="1"/>
  <c r="S100" i="1"/>
  <c r="N103" i="7" l="1"/>
  <c r="N115" i="7" s="1"/>
  <c r="N117" i="7" s="1"/>
  <c r="N120" i="7" s="1"/>
  <c r="AQ100" i="17"/>
  <c r="X100" i="1"/>
  <c r="AA100" i="1"/>
  <c r="U100" i="7"/>
  <c r="AD100" i="1"/>
  <c r="S103" i="1"/>
  <c r="N138" i="1"/>
  <c r="N138" i="7" l="1"/>
  <c r="U103" i="7"/>
  <c r="G24" i="16"/>
  <c r="AQ103" i="17"/>
  <c r="J27" i="11"/>
  <c r="X103" i="1"/>
  <c r="AD103" i="1"/>
  <c r="E109" i="6"/>
  <c r="AA103" i="1"/>
  <c r="N103" i="8"/>
  <c r="N115" i="8" s="1"/>
  <c r="N117" i="8" s="1"/>
  <c r="N120" i="8" s="1"/>
  <c r="N138" i="8" l="1"/>
  <c r="G109" i="6"/>
  <c r="N115" i="9"/>
  <c r="N117" i="9" s="1"/>
  <c r="N120" i="9" s="1"/>
  <c r="N103" i="9"/>
  <c r="S100" i="7"/>
  <c r="H24" i="16"/>
  <c r="K27" i="11"/>
  <c r="N138" i="9" l="1"/>
  <c r="N115" i="10"/>
  <c r="N117" i="10" s="1"/>
  <c r="N120" i="10" s="1"/>
  <c r="N103" i="10"/>
  <c r="I109" i="6"/>
  <c r="S103" i="7"/>
  <c r="U100" i="8"/>
  <c r="V100" i="7"/>
  <c r="S100" i="8"/>
  <c r="N138" i="10" l="1"/>
  <c r="U103" i="8"/>
  <c r="V100" i="8"/>
  <c r="U100" i="9"/>
  <c r="S103" i="8"/>
  <c r="S100" i="9"/>
  <c r="V103" i="7"/>
  <c r="K109" i="6"/>
  <c r="S100" i="10" l="1"/>
  <c r="M109" i="6"/>
  <c r="V100" i="9"/>
  <c r="U103" i="9"/>
  <c r="V103" i="8"/>
  <c r="S103" i="9"/>
  <c r="U100" i="10"/>
  <c r="V103" i="9" l="1"/>
  <c r="V100" i="10"/>
  <c r="U103" i="10"/>
  <c r="S103" i="10"/>
  <c r="V103" i="10" l="1"/>
  <c r="I108" i="1" l="1"/>
  <c r="I109" i="1" l="1"/>
  <c r="U109" i="1" s="1"/>
  <c r="E29" i="11" s="1"/>
  <c r="U108" i="1"/>
  <c r="I108" i="7"/>
  <c r="S108" i="1"/>
  <c r="X299" i="4"/>
  <c r="I115" i="1" l="1"/>
  <c r="U115" i="1" s="1"/>
  <c r="I108" i="8"/>
  <c r="I109" i="7"/>
  <c r="I115" i="7"/>
  <c r="I117" i="7" s="1"/>
  <c r="I120" i="7" s="1"/>
  <c r="I138" i="7" s="1"/>
  <c r="AQ108" i="17"/>
  <c r="U108" i="7"/>
  <c r="AD108" i="1"/>
  <c r="AA108" i="1"/>
  <c r="S109" i="1"/>
  <c r="X108" i="1"/>
  <c r="S115" i="1"/>
  <c r="G29" i="11"/>
  <c r="G32" i="11" s="1"/>
  <c r="G34" i="11" s="1"/>
  <c r="E32" i="11"/>
  <c r="E34" i="11" s="1"/>
  <c r="E37" i="11" s="1"/>
  <c r="L121" i="3"/>
  <c r="L122" i="3" s="1"/>
  <c r="I117" i="1" l="1"/>
  <c r="I120" i="1" s="1"/>
  <c r="I142" i="1"/>
  <c r="E142" i="1"/>
  <c r="K142" i="1"/>
  <c r="L142" i="1"/>
  <c r="M142" i="1"/>
  <c r="AQ115" i="17"/>
  <c r="N142" i="1"/>
  <c r="O142" i="1"/>
  <c r="J142" i="1"/>
  <c r="F142" i="1"/>
  <c r="S117" i="1"/>
  <c r="AQ117" i="17" s="1"/>
  <c r="G142" i="1"/>
  <c r="H142" i="1"/>
  <c r="P142" i="1"/>
  <c r="X109" i="1"/>
  <c r="X115" i="1" s="1"/>
  <c r="X117" i="1" s="1"/>
  <c r="E115" i="6"/>
  <c r="E121" i="6"/>
  <c r="E123" i="6" s="1"/>
  <c r="J29" i="11"/>
  <c r="AQ109" i="17"/>
  <c r="G26" i="16"/>
  <c r="AA109" i="1"/>
  <c r="AA115" i="1"/>
  <c r="AA117" i="1" s="1"/>
  <c r="AD109" i="1"/>
  <c r="AD115" i="1"/>
  <c r="AD117" i="1" s="1"/>
  <c r="U109" i="7"/>
  <c r="U115" i="7"/>
  <c r="U117" i="7" s="1"/>
  <c r="I108" i="9"/>
  <c r="I109" i="8"/>
  <c r="I115" i="8" s="1"/>
  <c r="I117" i="8" s="1"/>
  <c r="I120" i="8" s="1"/>
  <c r="I138" i="8" s="1"/>
  <c r="U117" i="1" l="1"/>
  <c r="H26" i="16"/>
  <c r="H29" i="16" s="1"/>
  <c r="H31" i="16" s="1"/>
  <c r="G29" i="16"/>
  <c r="G31" i="16" s="1"/>
  <c r="K29" i="11"/>
  <c r="K32" i="11" s="1"/>
  <c r="K34" i="11" s="1"/>
  <c r="J32" i="11"/>
  <c r="J34" i="11" s="1"/>
  <c r="E130" i="6"/>
  <c r="E148" i="6" s="1"/>
  <c r="E151" i="6" s="1"/>
  <c r="E155" i="6"/>
  <c r="S108" i="7"/>
  <c r="G115" i="6"/>
  <c r="G121" i="6"/>
  <c r="I108" i="10"/>
  <c r="I109" i="9"/>
  <c r="I115" i="9" s="1"/>
  <c r="I117" i="9" s="1"/>
  <c r="I120" i="9" s="1"/>
  <c r="I138" i="9" s="1"/>
  <c r="I138" i="1"/>
  <c r="I141" i="1" s="1"/>
  <c r="J139" i="1" s="1"/>
  <c r="J141" i="1" s="1"/>
  <c r="K139" i="1" s="1"/>
  <c r="K141" i="1" s="1"/>
  <c r="L139" i="1" s="1"/>
  <c r="L141" i="1" s="1"/>
  <c r="M139" i="1" s="1"/>
  <c r="M141" i="1" s="1"/>
  <c r="N139" i="1" s="1"/>
  <c r="N141" i="1" s="1"/>
  <c r="O139" i="1" s="1"/>
  <c r="O141" i="1" s="1"/>
  <c r="P139" i="1" s="1"/>
  <c r="P141" i="1" s="1"/>
  <c r="E139" i="7" s="1"/>
  <c r="E141" i="7" s="1"/>
  <c r="F139" i="7" s="1"/>
  <c r="F141" i="7" s="1"/>
  <c r="G139" i="7" s="1"/>
  <c r="G141" i="7" s="1"/>
  <c r="H139" i="7" s="1"/>
  <c r="H141" i="7" s="1"/>
  <c r="I139" i="7" s="1"/>
  <c r="I141" i="7" s="1"/>
  <c r="J139" i="7" s="1"/>
  <c r="J141" i="7" s="1"/>
  <c r="K139" i="7" s="1"/>
  <c r="K141" i="7" s="1"/>
  <c r="L139" i="7" s="1"/>
  <c r="L141" i="7" s="1"/>
  <c r="M139" i="7" s="1"/>
  <c r="M141" i="7" s="1"/>
  <c r="N139" i="7" s="1"/>
  <c r="N141" i="7" s="1"/>
  <c r="O139" i="7" s="1"/>
  <c r="O141" i="7" s="1"/>
  <c r="P139" i="7" s="1"/>
  <c r="P141" i="7" s="1"/>
  <c r="E139" i="8" s="1"/>
  <c r="S120" i="1"/>
  <c r="G149" i="6" l="1"/>
  <c r="E156" i="6"/>
  <c r="S109" i="7"/>
  <c r="U108" i="8"/>
  <c r="S115" i="7"/>
  <c r="V108" i="7"/>
  <c r="J37" i="11"/>
  <c r="J41" i="11" s="1"/>
  <c r="J43" i="11"/>
  <c r="I109" i="10"/>
  <c r="I115" i="10"/>
  <c r="I117" i="10" s="1"/>
  <c r="I120" i="10" s="1"/>
  <c r="I138" i="10" s="1"/>
  <c r="S108" i="8"/>
  <c r="G42" i="16"/>
  <c r="G34" i="16"/>
  <c r="V109" i="7" l="1"/>
  <c r="V115" i="7"/>
  <c r="U109" i="8"/>
  <c r="V108" i="8"/>
  <c r="U115" i="8"/>
  <c r="G39" i="16"/>
  <c r="E126" i="6"/>
  <c r="S108" i="9"/>
  <c r="I115" i="6"/>
  <c r="I121" i="6" s="1"/>
  <c r="S109" i="8"/>
  <c r="S115" i="8" s="1"/>
  <c r="U108" i="9"/>
  <c r="E128" i="9"/>
  <c r="S128" i="7"/>
  <c r="G138" i="6" s="1"/>
  <c r="E128" i="8"/>
  <c r="U109" i="9" l="1"/>
  <c r="V108" i="9"/>
  <c r="U115" i="9"/>
  <c r="G125" i="6"/>
  <c r="E127" i="6"/>
  <c r="V109" i="8"/>
  <c r="V115" i="8"/>
  <c r="S108" i="10"/>
  <c r="S128" i="8"/>
  <c r="I138" i="6" s="1"/>
  <c r="K115" i="6"/>
  <c r="K121" i="6" s="1"/>
  <c r="U108" i="10"/>
  <c r="S109" i="9"/>
  <c r="S115" i="9" s="1"/>
  <c r="E128" i="10"/>
  <c r="M115" i="6"/>
  <c r="M121" i="6"/>
  <c r="U109" i="10" l="1"/>
  <c r="V108" i="10"/>
  <c r="U115" i="10"/>
  <c r="S128" i="10"/>
  <c r="M138" i="6" s="1"/>
  <c r="S128" i="9"/>
  <c r="K138" i="6" s="1"/>
  <c r="S109" i="10"/>
  <c r="S115" i="10"/>
  <c r="V109" i="9"/>
  <c r="V115" i="9"/>
  <c r="V109" i="10" l="1"/>
  <c r="V115" i="10"/>
  <c r="G19" i="6"/>
  <c r="G33" i="6" s="1"/>
  <c r="G123" i="6" s="1"/>
  <c r="M19" i="6" l="1"/>
  <c r="M33" i="6" s="1"/>
  <c r="M123" i="6" s="1"/>
  <c r="S8" i="8"/>
  <c r="G130" i="6"/>
  <c r="G126" i="6"/>
  <c r="S120" i="7"/>
  <c r="I19" i="6"/>
  <c r="I33" i="6" s="1"/>
  <c r="I123" i="6" s="1"/>
  <c r="S8" i="7"/>
  <c r="K19" i="6"/>
  <c r="K33" i="6" s="1"/>
  <c r="K123" i="6" s="1"/>
  <c r="I130" i="6" l="1"/>
  <c r="S8" i="9"/>
  <c r="S8" i="10"/>
  <c r="K130" i="6"/>
  <c r="E123" i="8"/>
  <c r="S123" i="7"/>
  <c r="G133" i="6" s="1"/>
  <c r="G148" i="6" s="1"/>
  <c r="G151" i="6" s="1"/>
  <c r="M130" i="6"/>
  <c r="S13" i="7"/>
  <c r="S27" i="7" s="1"/>
  <c r="S117" i="7" s="1"/>
  <c r="G155" i="6" s="1"/>
  <c r="V8" i="7"/>
  <c r="U8" i="8"/>
  <c r="V8" i="8" s="1"/>
  <c r="E123" i="9"/>
  <c r="S120" i="8"/>
  <c r="G127" i="6"/>
  <c r="I125" i="6"/>
  <c r="I126" i="6" s="1"/>
  <c r="S13" i="8"/>
  <c r="S27" i="8" s="1"/>
  <c r="S117" i="8" s="1"/>
  <c r="I155" i="6" s="1"/>
  <c r="U8" i="9"/>
  <c r="G156" i="6" l="1"/>
  <c r="I149" i="6"/>
  <c r="S120" i="9"/>
  <c r="E123" i="10"/>
  <c r="U13" i="9"/>
  <c r="U27" i="9" s="1"/>
  <c r="U117" i="9" s="1"/>
  <c r="E138" i="8"/>
  <c r="E141" i="8" s="1"/>
  <c r="F139" i="8" s="1"/>
  <c r="F141" i="8" s="1"/>
  <c r="G139" i="8" s="1"/>
  <c r="G141" i="8" s="1"/>
  <c r="H139" i="8" s="1"/>
  <c r="H141" i="8" s="1"/>
  <c r="I139" i="8" s="1"/>
  <c r="I141" i="8" s="1"/>
  <c r="J139" i="8" s="1"/>
  <c r="J141" i="8" s="1"/>
  <c r="K139" i="8" s="1"/>
  <c r="K141" i="8" s="1"/>
  <c r="L139" i="8" s="1"/>
  <c r="L141" i="8" s="1"/>
  <c r="M139" i="8" s="1"/>
  <c r="M141" i="8" s="1"/>
  <c r="N139" i="8" s="1"/>
  <c r="N141" i="8" s="1"/>
  <c r="O139" i="8" s="1"/>
  <c r="O141" i="8" s="1"/>
  <c r="P139" i="8" s="1"/>
  <c r="P141" i="8" s="1"/>
  <c r="E139" i="9" s="1"/>
  <c r="S123" i="8"/>
  <c r="I133" i="6" s="1"/>
  <c r="I148" i="6" s="1"/>
  <c r="I151" i="6" s="1"/>
  <c r="I127" i="6"/>
  <c r="K125" i="6"/>
  <c r="K126" i="6" s="1"/>
  <c r="S120" i="10"/>
  <c r="U13" i="8"/>
  <c r="U27" i="8" s="1"/>
  <c r="U117" i="8" s="1"/>
  <c r="V8" i="9"/>
  <c r="S13" i="9"/>
  <c r="S27" i="9" s="1"/>
  <c r="S117" i="9" s="1"/>
  <c r="K155" i="6" s="1"/>
  <c r="U8" i="10"/>
  <c r="V8" i="10" s="1"/>
  <c r="V13" i="7"/>
  <c r="V27" i="7" s="1"/>
  <c r="V117" i="7" s="1"/>
  <c r="V13" i="8"/>
  <c r="V27" i="8" s="1"/>
  <c r="V117" i="8" s="1"/>
  <c r="S13" i="10"/>
  <c r="S27" i="10"/>
  <c r="S117" i="10" s="1"/>
  <c r="M155" i="6" s="1"/>
  <c r="E138" i="9"/>
  <c r="S123" i="9"/>
  <c r="K133" i="6" s="1"/>
  <c r="K148" i="6" s="1"/>
  <c r="I156" i="6" l="1"/>
  <c r="K149" i="6"/>
  <c r="K151" i="6" s="1"/>
  <c r="K127" i="6"/>
  <c r="M125" i="6"/>
  <c r="M126" i="6" s="1"/>
  <c r="M127" i="6" s="1"/>
  <c r="V13" i="10"/>
  <c r="V27" i="10" s="1"/>
  <c r="V117" i="10" s="1"/>
  <c r="S123" i="10"/>
  <c r="M133" i="6" s="1"/>
  <c r="M148" i="6" s="1"/>
  <c r="E138" i="10"/>
  <c r="E141" i="9"/>
  <c r="F139" i="9" s="1"/>
  <c r="F141" i="9" s="1"/>
  <c r="G139" i="9" s="1"/>
  <c r="G141" i="9" s="1"/>
  <c r="H139" i="9" s="1"/>
  <c r="H141" i="9" s="1"/>
  <c r="I139" i="9" s="1"/>
  <c r="I141" i="9" s="1"/>
  <c r="J139" i="9" s="1"/>
  <c r="J141" i="9" s="1"/>
  <c r="K139" i="9" s="1"/>
  <c r="K141" i="9" s="1"/>
  <c r="L139" i="9" s="1"/>
  <c r="L141" i="9" s="1"/>
  <c r="M139" i="9" s="1"/>
  <c r="M141" i="9" s="1"/>
  <c r="N139" i="9" s="1"/>
  <c r="N141" i="9" s="1"/>
  <c r="O139" i="9" s="1"/>
  <c r="O141" i="9" s="1"/>
  <c r="P139" i="9" s="1"/>
  <c r="P141" i="9" s="1"/>
  <c r="E139" i="10" s="1"/>
  <c r="U13" i="10"/>
  <c r="U27" i="10" s="1"/>
  <c r="U117" i="10" s="1"/>
  <c r="V13" i="9"/>
  <c r="V27" i="9" s="1"/>
  <c r="V117" i="9" s="1"/>
  <c r="M149" i="6" l="1"/>
  <c r="M151" i="6" s="1"/>
  <c r="K156" i="6"/>
  <c r="E141" i="10"/>
  <c r="F139" i="10" s="1"/>
  <c r="F141" i="10" s="1"/>
  <c r="G139" i="10" s="1"/>
  <c r="G141" i="10" s="1"/>
  <c r="H139" i="10" s="1"/>
  <c r="H141" i="10" s="1"/>
  <c r="I139" i="10" s="1"/>
  <c r="I141" i="10" s="1"/>
  <c r="J139" i="10" s="1"/>
  <c r="J141" i="10" s="1"/>
  <c r="K139" i="10" s="1"/>
  <c r="K141" i="10" s="1"/>
  <c r="L139" i="10" s="1"/>
  <c r="L141" i="10" s="1"/>
  <c r="M139" i="10" s="1"/>
  <c r="M141" i="10" s="1"/>
  <c r="N139" i="10" s="1"/>
  <c r="N141" i="10" s="1"/>
  <c r="O139" i="10" s="1"/>
  <c r="O141" i="10" s="1"/>
  <c r="P139" i="10" s="1"/>
  <c r="P141" i="10" s="1"/>
  <c r="M15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Spencer Styles</author>
    <author>Erika Capulo</author>
  </authors>
  <commentList>
    <comment ref="I9" authorId="0" shapeId="0" xr:uid="{00000000-0006-0000-0B00-000001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I16" authorId="0" shapeId="0" xr:uid="{00000000-0006-0000-0B00-000002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C17" authorId="1" shapeId="0" xr:uid="{A6C17CC8-1985-427F-971D-51F4C3906004}">
      <text>
        <r>
          <rPr>
            <b/>
            <sz val="9"/>
            <color indexed="81"/>
            <rFont val="Tahoma"/>
            <family val="2"/>
          </rPr>
          <t>Erika Capulo:</t>
        </r>
        <r>
          <rPr>
            <sz val="9"/>
            <color indexed="81"/>
            <rFont val="Tahoma"/>
            <family val="2"/>
          </rPr>
          <t xml:space="preserve">
Should AM be split 75/25 with the 2 Henderson campus? 
Salary not on track for down/over not sure if it is increasing 
</t>
        </r>
      </text>
    </comment>
    <comment ref="I22" authorId="0" shapeId="0" xr:uid="{00000000-0006-0000-0B00-000003000000}">
      <text>
        <r>
          <rPr>
            <sz val="9"/>
            <color indexed="81"/>
            <rFont val="Tahoma"/>
            <family val="2"/>
          </rPr>
          <t>To calculate benefits, enter:
  - y for benefits
  - n for no benefits</t>
        </r>
      </text>
    </comment>
    <comment ref="E37" authorId="0" shapeId="0" xr:uid="{00000000-0006-0000-0B00-000004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  <comment ref="E44" authorId="0" shapeId="0" xr:uid="{00000000-0006-0000-0B00-000005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  <comment ref="E50" authorId="0" shapeId="0" xr:uid="{00000000-0006-0000-0B00-000006000000}">
      <text>
        <r>
          <rPr>
            <sz val="9"/>
            <color indexed="81"/>
            <rFont val="Tahoma"/>
            <family val="2"/>
          </rPr>
          <t>Enter the amount per payment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<sst xmlns="http://schemas.openxmlformats.org/spreadsheetml/2006/main" count="3060" uniqueCount="644">
  <si>
    <t>Ad Valorem Taxes</t>
  </si>
  <si>
    <t>Sales and Use Taxes</t>
  </si>
  <si>
    <t>Franchise Fees</t>
  </si>
  <si>
    <t>Basic General Governmental Services Tax</t>
  </si>
  <si>
    <t>Other Activity Income</t>
  </si>
  <si>
    <t>Special Ed portion to DSA</t>
  </si>
  <si>
    <t>Restricted Grants-in-Aid</t>
  </si>
  <si>
    <t>Special Education Part B</t>
  </si>
  <si>
    <t>Personal Services-Salaries</t>
  </si>
  <si>
    <t>Purchased Professional and Technical Services</t>
  </si>
  <si>
    <t>Professional Educational Services</t>
  </si>
  <si>
    <t>Prof-Dev/Instructional Lic. Personnel</t>
  </si>
  <si>
    <t>Prof-Dev/Administrative Lic. Personnel</t>
  </si>
  <si>
    <t>Prof-Dev/Other Classfied-Support Personnel</t>
  </si>
  <si>
    <t>Prof-Dev/Technology Training</t>
  </si>
  <si>
    <t>Other Professional Services</t>
  </si>
  <si>
    <t>Marketing</t>
  </si>
  <si>
    <t>Technical Services</t>
  </si>
  <si>
    <t>Data Processing and Coding Services</t>
  </si>
  <si>
    <t>Utility Services</t>
  </si>
  <si>
    <t>Cleaning Services</t>
  </si>
  <si>
    <t>Repairs and Maintenance Services</t>
  </si>
  <si>
    <t>Renting Land and Buildings</t>
  </si>
  <si>
    <t>Student Transportation Purchased From Other Source</t>
  </si>
  <si>
    <t>Property Insurance ''Business Owners''</t>
  </si>
  <si>
    <t>Liability Insurance ''Errors and Omissions''</t>
  </si>
  <si>
    <t>Fidelity / Other Insurance ''Umbrella''</t>
  </si>
  <si>
    <t>Postage</t>
  </si>
  <si>
    <t>Telephone - Cell phone services</t>
  </si>
  <si>
    <t>Data Communications, Internet, Video, T-lines, etc</t>
  </si>
  <si>
    <t>Advertising</t>
  </si>
  <si>
    <t>Printing and Binding</t>
  </si>
  <si>
    <t>Tuition-Other</t>
  </si>
  <si>
    <t>Travel</t>
  </si>
  <si>
    <t>General Supplies</t>
  </si>
  <si>
    <t>Technology Supplies and Equipment</t>
  </si>
  <si>
    <t>Electricity</t>
  </si>
  <si>
    <t xml:space="preserve">Textbooks </t>
  </si>
  <si>
    <t>Classroom Technology Fees</t>
  </si>
  <si>
    <t>Supplies -Tech -Software</t>
  </si>
  <si>
    <t>Supplies-Equipment</t>
  </si>
  <si>
    <t>Technology-Related Hardware</t>
  </si>
  <si>
    <t>Dues and Fees</t>
  </si>
  <si>
    <t>General</t>
  </si>
  <si>
    <t>6111</t>
  </si>
  <si>
    <t>6114</t>
  </si>
  <si>
    <t>6117</t>
  </si>
  <si>
    <t>6127</t>
  </si>
  <si>
    <t>6151</t>
  </si>
  <si>
    <t>6154</t>
  </si>
  <si>
    <t>6157</t>
  </si>
  <si>
    <t>6161</t>
  </si>
  <si>
    <t>6164</t>
  </si>
  <si>
    <t>6167</t>
  </si>
  <si>
    <t>Year-End Accruals</t>
  </si>
  <si>
    <t>Annual Budget</t>
  </si>
  <si>
    <t>Favorable / (Unfav.)</t>
  </si>
  <si>
    <t>PY Forecast</t>
  </si>
  <si>
    <t>Revenues</t>
  </si>
  <si>
    <t>Expenses</t>
  </si>
  <si>
    <t>Revenue Inputs</t>
  </si>
  <si>
    <t xml:space="preserve">School Name: </t>
  </si>
  <si>
    <t>Enrollment &amp; Demographics</t>
  </si>
  <si>
    <t>TK</t>
  </si>
  <si>
    <t>K</t>
  </si>
  <si>
    <t>Grade</t>
  </si>
  <si>
    <t>Total</t>
  </si>
  <si>
    <t>FY21</t>
  </si>
  <si>
    <t>FY22</t>
  </si>
  <si>
    <t>FY23</t>
  </si>
  <si>
    <t>FY24</t>
  </si>
  <si>
    <t>Funding Rates</t>
  </si>
  <si>
    <t>DSA Rates</t>
  </si>
  <si>
    <t>Basic Support</t>
  </si>
  <si>
    <t>Other State Funding</t>
  </si>
  <si>
    <t>Federal Funding</t>
  </si>
  <si>
    <t>Local Funding</t>
  </si>
  <si>
    <t>Payroll Details</t>
  </si>
  <si>
    <t>Salary</t>
  </si>
  <si>
    <t>Name</t>
  </si>
  <si>
    <t>Title</t>
  </si>
  <si>
    <t>Code</t>
  </si>
  <si>
    <t>Medicare</t>
  </si>
  <si>
    <t>Worker's Comp</t>
  </si>
  <si>
    <t>n/a</t>
  </si>
  <si>
    <t>Benefit Rates</t>
  </si>
  <si>
    <t>Social Security</t>
  </si>
  <si>
    <t>Health Benefits COLA</t>
  </si>
  <si>
    <t>Total Group Insurance</t>
  </si>
  <si>
    <t>AD&amp;D</t>
  </si>
  <si>
    <t>TermLife</t>
  </si>
  <si>
    <t>LTD</t>
  </si>
  <si>
    <t>Health</t>
  </si>
  <si>
    <t>Dental</t>
  </si>
  <si>
    <t>Vision</t>
  </si>
  <si>
    <t>Total Health Insurance</t>
  </si>
  <si>
    <t>Salaries: Teachers</t>
  </si>
  <si>
    <t>Extra Duties: Teachers</t>
  </si>
  <si>
    <t>Extra Duties: Licensed Administration</t>
  </si>
  <si>
    <t>Personnel Services - Employee Benefits</t>
  </si>
  <si>
    <t>Purchased Property Services</t>
  </si>
  <si>
    <t>Other Purchased Services</t>
  </si>
  <si>
    <t>Supplies</t>
  </si>
  <si>
    <t>Property</t>
  </si>
  <si>
    <t>Debt Service and Misc.</t>
  </si>
  <si>
    <t>Total Revenue</t>
  </si>
  <si>
    <t>Original Budget</t>
  </si>
  <si>
    <t>Total Expenses</t>
  </si>
  <si>
    <t>Surplus (Deficit)</t>
  </si>
  <si>
    <t>Cash Flow Adjustments</t>
  </si>
  <si>
    <t>Monthly Surplus (Deficit)</t>
  </si>
  <si>
    <t/>
  </si>
  <si>
    <t>Cash flows from operating activities</t>
  </si>
  <si>
    <t>Depreciation/Amortization</t>
  </si>
  <si>
    <t>Public Funding Receivables</t>
  </si>
  <si>
    <t>Grants and Contributions Rec.</t>
  </si>
  <si>
    <t>Due To/From Related Parties</t>
  </si>
  <si>
    <t>Prepaid Expenses</t>
  </si>
  <si>
    <t>Other Assets</t>
  </si>
  <si>
    <t>Accounts Payable</t>
  </si>
  <si>
    <t>Accrued Expenses</t>
  </si>
  <si>
    <t>Other Liabilities</t>
  </si>
  <si>
    <t>Cash flows from investing activities</t>
  </si>
  <si>
    <t>Purchases of Prop. And Equip.</t>
  </si>
  <si>
    <t>Notes Receivable</t>
  </si>
  <si>
    <t>Cash flows from financing activities</t>
  </si>
  <si>
    <t>Total Change in Cash</t>
  </si>
  <si>
    <t>Cash, Beginning of Month</t>
  </si>
  <si>
    <t>Cash, End of Month</t>
  </si>
  <si>
    <t>Proceeds from Debt</t>
  </si>
  <si>
    <t>Proceeds on Debt</t>
  </si>
  <si>
    <t>Description</t>
  </si>
  <si>
    <t>Quantity</t>
  </si>
  <si>
    <t>Cost</t>
  </si>
  <si>
    <t>Extended</t>
  </si>
  <si>
    <t>Expense Details</t>
  </si>
  <si>
    <t>Payroll COLA Increases</t>
  </si>
  <si>
    <t>Multi-Year Projection</t>
  </si>
  <si>
    <t>surplus</t>
  </si>
  <si>
    <t>cash</t>
  </si>
  <si>
    <t>Check Figures</t>
  </si>
  <si>
    <t>Key Assumptions</t>
  </si>
  <si>
    <t>Attendance</t>
  </si>
  <si>
    <t>DSA Funding Rate</t>
  </si>
  <si>
    <t>OPEX COLA</t>
  </si>
  <si>
    <t>Annual/Full Year</t>
  </si>
  <si>
    <t>Fav/(Unf)</t>
  </si>
  <si>
    <t>Revenue</t>
  </si>
  <si>
    <t>Federal Revenue</t>
  </si>
  <si>
    <t>Other Local Revenue</t>
  </si>
  <si>
    <t xml:space="preserve">Total Surplus(Deficit) </t>
  </si>
  <si>
    <t>Beginning Fund Balance</t>
  </si>
  <si>
    <t>Ending Fund Balance</t>
  </si>
  <si>
    <t>Fund Balance, Beginning of Year</t>
  </si>
  <si>
    <t>Fund Balance, End of Year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</si>
  <si>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</si>
  <si>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</si>
  <si>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</si>
  <si>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</si>
  <si>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</si>
  <si>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</si>
  <si>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</si>
  <si>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</si>
  <si>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</si>
  <si>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</si>
  <si>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</si>
  <si>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</si>
  <si>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Current Year Monthy Enrollment</t>
  </si>
  <si>
    <t>Budgeted Monthly Enrollment</t>
  </si>
  <si>
    <t>Distributive School Account</t>
  </si>
  <si>
    <t>State Revenue</t>
  </si>
  <si>
    <t>Distributed School Account</t>
  </si>
  <si>
    <t>Property Services</t>
  </si>
  <si>
    <t>Employee Benefits</t>
  </si>
  <si>
    <t>Salaries</t>
  </si>
  <si>
    <t>Prof. and Tech. Services</t>
  </si>
  <si>
    <t>Attendance Tracking</t>
  </si>
  <si>
    <t>Depreciation</t>
  </si>
  <si>
    <t>Financial Performance Measures</t>
  </si>
  <si>
    <t>Enrollment Forecast Accuracy</t>
  </si>
  <si>
    <t>Total Margin</t>
  </si>
  <si>
    <t>Debt to Asset Ratio</t>
  </si>
  <si>
    <t>Debt Service Coverage Ratio</t>
  </si>
  <si>
    <t>Average</t>
  </si>
  <si>
    <t>Funding Timing</t>
  </si>
  <si>
    <t>E-Rate</t>
  </si>
  <si>
    <t>Tuition-Classroom Fees</t>
  </si>
  <si>
    <t>Growth Rate</t>
  </si>
  <si>
    <t>Revenue Growth Rate</t>
  </si>
  <si>
    <t>Additional Compensation: Teachers</t>
  </si>
  <si>
    <t>Additional Compensation: Licensed Admin.</t>
  </si>
  <si>
    <t>Regular Employees: Teachers</t>
  </si>
  <si>
    <t>Regular Employees: Licensed Adm</t>
  </si>
  <si>
    <t>Health Benefits: Teachers</t>
  </si>
  <si>
    <t>Health Benefits: Licensed Admin.</t>
  </si>
  <si>
    <t xml:space="preserve">Health Benefits: Other Classified/Support </t>
  </si>
  <si>
    <t>Medicare: Teachers</t>
  </si>
  <si>
    <t>Medicare: Licensed Admin.</t>
  </si>
  <si>
    <t>Group Insurance: Teacher</t>
  </si>
  <si>
    <t>Group Insurance: Licensed Admin.</t>
  </si>
  <si>
    <t>Group Insurance: Other Classified/Support Staff</t>
  </si>
  <si>
    <t>Salaries: Licensed Admin</t>
  </si>
  <si>
    <t>Extra Duties: Licensed Admin</t>
  </si>
  <si>
    <t>Group Insurance: Licensed Admin</t>
  </si>
  <si>
    <t>Health Benefits: Licensed Admin</t>
  </si>
  <si>
    <t>Retirement: Teachers</t>
  </si>
  <si>
    <t>Retirement: Licensed Admin.</t>
  </si>
  <si>
    <t>Unemployment: Teachers</t>
  </si>
  <si>
    <t>Unemployment: Licensed Admin.</t>
  </si>
  <si>
    <t>Worker's Comp: Teachers</t>
  </si>
  <si>
    <t>Worker's Comp: Licensed Admin.</t>
  </si>
  <si>
    <t>Extra Duties: Other Classified/Support Staff</t>
  </si>
  <si>
    <t>Salaries: Other Classified/Support Staff</t>
  </si>
  <si>
    <t>Temp Salaries: Other Classified/Support Staff</t>
  </si>
  <si>
    <t>Medicare: Other Classified/Support Staff</t>
  </si>
  <si>
    <t>Unemployment: Licensed Admin</t>
  </si>
  <si>
    <t>Unemployment: Other Classified/Support Staff</t>
  </si>
  <si>
    <t>Worker's Comp: Licensed Admin</t>
  </si>
  <si>
    <t>Worker's Comp: Other Classified/Support Staff</t>
  </si>
  <si>
    <t>Retirement: Licensed Admin</t>
  </si>
  <si>
    <t>Retirement: Other Classified/Support Staff</t>
  </si>
  <si>
    <t>Social Security: Temp Other Classified</t>
  </si>
  <si>
    <t>Group Insurance: Other Classified</t>
  </si>
  <si>
    <t>Retirement: Other Classified</t>
  </si>
  <si>
    <t>Medicare: Other Classified</t>
  </si>
  <si>
    <t>Unemployment: Other Classified</t>
  </si>
  <si>
    <t>Worker's Comp: Other Classified</t>
  </si>
  <si>
    <t xml:space="preserve">Health Benefits: Other Classified </t>
  </si>
  <si>
    <t>Regular Employees: Other Classified</t>
  </si>
  <si>
    <t>Temporary Employees: Other Classified</t>
  </si>
  <si>
    <t>Additional Compensation: Other Classified</t>
  </si>
  <si>
    <t>Extra Duties: Other Classified</t>
  </si>
  <si>
    <t>Regular Employees: Licensed Admin</t>
  </si>
  <si>
    <t>Additional Compensation: Licensed Admin</t>
  </si>
  <si>
    <t xml:space="preserve">Student Transportation </t>
  </si>
  <si>
    <t>Data Communications, Internet, Video</t>
  </si>
  <si>
    <t>Total Salaries</t>
  </si>
  <si>
    <t>Group Insurance</t>
  </si>
  <si>
    <t>Retirement</t>
  </si>
  <si>
    <t>Unemployment</t>
  </si>
  <si>
    <t>Health Benefits</t>
  </si>
  <si>
    <t>Total Benefits</t>
  </si>
  <si>
    <t>salaries</t>
  </si>
  <si>
    <t>benefits</t>
  </si>
  <si>
    <t>Object Code</t>
  </si>
  <si>
    <t>PERS</t>
  </si>
  <si>
    <t>PERS Retirement - EE</t>
  </si>
  <si>
    <t>PERS Retirement - ER</t>
  </si>
  <si>
    <t>12 Month Contract Rate</t>
  </si>
  <si>
    <t>FY19-20</t>
  </si>
  <si>
    <t>Days Cash-on-Hand</t>
  </si>
  <si>
    <t>Prior Year Total</t>
  </si>
  <si>
    <t>Prior Year</t>
  </si>
  <si>
    <t>Fasorable / (Unfas.)</t>
  </si>
  <si>
    <t>Change</t>
  </si>
  <si>
    <t>Per Pupil Amount from the State</t>
  </si>
  <si>
    <t>Central Office %</t>
  </si>
  <si>
    <t>Per Pupil Amount to Schools</t>
  </si>
  <si>
    <t>0000-000</t>
  </si>
  <si>
    <t>1000-000</t>
  </si>
  <si>
    <t>1001-000</t>
  </si>
  <si>
    <t>2120-000</t>
  </si>
  <si>
    <t>2130-000</t>
  </si>
  <si>
    <t>2140-000</t>
  </si>
  <si>
    <t>2240-000</t>
  </si>
  <si>
    <t>2310-000</t>
  </si>
  <si>
    <t>2320-000</t>
  </si>
  <si>
    <t>2410-000</t>
  </si>
  <si>
    <t>2500-000</t>
  </si>
  <si>
    <t>2560-000</t>
  </si>
  <si>
    <t>2570-000</t>
  </si>
  <si>
    <t>2580-000</t>
  </si>
  <si>
    <t>2600-000</t>
  </si>
  <si>
    <t>2610-000</t>
  </si>
  <si>
    <t>2620-000</t>
  </si>
  <si>
    <t>2710-000</t>
  </si>
  <si>
    <t>2900-000</t>
  </si>
  <si>
    <t>0000-325</t>
  </si>
  <si>
    <t>1000-325</t>
  </si>
  <si>
    <t>0000-352</t>
  </si>
  <si>
    <t>1000-352</t>
  </si>
  <si>
    <t>2240-352</t>
  </si>
  <si>
    <t>0000-661</t>
  </si>
  <si>
    <t>1000-661</t>
  </si>
  <si>
    <t>2320-661</t>
  </si>
  <si>
    <t>2500-661</t>
  </si>
  <si>
    <t>2580-661</t>
  </si>
  <si>
    <t>0000-709</t>
  </si>
  <si>
    <t>1000-709</t>
  </si>
  <si>
    <t>2320-709</t>
  </si>
  <si>
    <t>2500-709</t>
  </si>
  <si>
    <t>Function-Grant</t>
  </si>
  <si>
    <t>Check</t>
  </si>
  <si>
    <t>Cycle Name</t>
  </si>
  <si>
    <t>Fund Element Value</t>
  </si>
  <si>
    <t>Budget Pool Number</t>
  </si>
  <si>
    <t>Account Code</t>
  </si>
  <si>
    <t>Account Type Name</t>
  </si>
  <si>
    <t>Amount</t>
  </si>
  <si>
    <t>Auto Create Account</t>
  </si>
  <si>
    <t>Comment</t>
  </si>
  <si>
    <t>Required</t>
  </si>
  <si>
    <t>An existing Accounting Cycle name.
varchar(32)</t>
  </si>
  <si>
    <t>Fund element value for new Budget.
varchar(64)</t>
  </si>
  <si>
    <r>
      <t xml:space="preserve">Use a unique number for each different pool;
Use a </t>
    </r>
    <r>
      <rPr>
        <b/>
        <i/>
        <sz val="8"/>
        <rFont val="Arial"/>
        <family val="2"/>
      </rPr>
      <t>0</t>
    </r>
    <r>
      <rPr>
        <i/>
        <sz val="8"/>
        <rFont val="Arial"/>
        <family val="2"/>
      </rPr>
      <t xml:space="preserve"> for no pooling;
int</t>
    </r>
  </si>
  <si>
    <t>Full account code for the Budget line.
varchar(255)</t>
  </si>
  <si>
    <t>One of the following:
Asset
Liability
Expenditure
Revenue
Other Financing Uses
Other Financing Sources
Fund Balance/Retained Earnings
varchar(32)</t>
  </si>
  <si>
    <t>money</t>
  </si>
  <si>
    <r>
      <t xml:space="preserve">Set to Yes to create the account code when it does not exists.
</t>
    </r>
    <r>
      <rPr>
        <b/>
        <i/>
        <sz val="8"/>
        <rFont val="Arial"/>
        <family val="2"/>
      </rPr>
      <t>1</t>
    </r>
    <r>
      <rPr>
        <i/>
        <sz val="8"/>
        <rFont val="Arial"/>
        <family val="2"/>
      </rPr>
      <t xml:space="preserve"> - Yes
</t>
    </r>
    <r>
      <rPr>
        <b/>
        <i/>
        <sz val="8"/>
        <rFont val="Arial"/>
        <family val="2"/>
      </rPr>
      <t>0</t>
    </r>
    <r>
      <rPr>
        <i/>
        <sz val="8"/>
        <rFont val="Arial"/>
        <family val="2"/>
      </rPr>
      <t xml:space="preserve"> - No
int</t>
    </r>
  </si>
  <si>
    <t>varchar(255)</t>
  </si>
  <si>
    <t>100</t>
  </si>
  <si>
    <t>0</t>
  </si>
  <si>
    <t>Expenditure</t>
  </si>
  <si>
    <t>Object</t>
  </si>
  <si>
    <t>Function</t>
  </si>
  <si>
    <t>Grant</t>
  </si>
  <si>
    <t xml:space="preserve">Title </t>
  </si>
  <si>
    <t>Hourly Rate</t>
  </si>
  <si>
    <t>Annual</t>
  </si>
  <si>
    <t xml:space="preserve">Performance Incentives: Teachers </t>
  </si>
  <si>
    <t xml:space="preserve">Performance Incentives: Licensed Admin </t>
  </si>
  <si>
    <t>Performance Incentives: Other Classified/Support Staff</t>
  </si>
  <si>
    <t>Incentive Amount</t>
  </si>
  <si>
    <t>2510-000</t>
  </si>
  <si>
    <t>Technical Services - Technology</t>
  </si>
  <si>
    <t>Marketing Services</t>
  </si>
  <si>
    <t>Tuition-Other (Grant ONLY)</t>
  </si>
  <si>
    <t>Postage and Stamps</t>
  </si>
  <si>
    <t>FRL #</t>
  </si>
  <si>
    <t>SPED #</t>
  </si>
  <si>
    <t>504 #</t>
  </si>
  <si>
    <t>ELL #</t>
  </si>
  <si>
    <t>Principal - Supplies for DSA office</t>
  </si>
  <si>
    <t>Instruction - Supplies for students and EAC office</t>
  </si>
  <si>
    <t>Central - Supplies for OM Office and main office</t>
  </si>
  <si>
    <t>Location</t>
  </si>
  <si>
    <t>00-01</t>
  </si>
  <si>
    <t>32-01</t>
  </si>
  <si>
    <t>2000-000</t>
  </si>
  <si>
    <t>2700-000</t>
  </si>
  <si>
    <t>Annual Rate</t>
  </si>
  <si>
    <t>EE/ER</t>
  </si>
  <si>
    <t>CCR #</t>
  </si>
  <si>
    <t>Professional Development for DSA</t>
  </si>
  <si>
    <t>FTE</t>
  </si>
  <si>
    <t>Stamps and postage supplies</t>
  </si>
  <si>
    <t>N/A</t>
  </si>
  <si>
    <t>USE THIS FORM FOR REQUESTING CHANGES TO THE THE PROTECTED ITEMS ON YOUR BUDGET FORMS (ANY)</t>
  </si>
  <si>
    <t>Line Item</t>
  </si>
  <si>
    <t>Worksheet</t>
  </si>
  <si>
    <t>Item Name</t>
  </si>
  <si>
    <t>Current Budget Amt</t>
  </si>
  <si>
    <t>Requested Budget Amt</t>
  </si>
  <si>
    <t>Rationale</t>
  </si>
  <si>
    <t>4703  E-rate (50% of Internet ONLY)</t>
  </si>
  <si>
    <t>1790  Other Income</t>
  </si>
  <si>
    <t xml:space="preserve">3115  Special Education portion to DSA </t>
  </si>
  <si>
    <t>1110  Ad Valorem Taxes</t>
  </si>
  <si>
    <t>1120  Sales and Use Taxes</t>
  </si>
  <si>
    <t>1191  Franchise Fees</t>
  </si>
  <si>
    <t>1192  General Gov. Services Tax</t>
  </si>
  <si>
    <t>3110  Basic Support</t>
  </si>
  <si>
    <t>325/352</t>
  </si>
  <si>
    <t>661/633/709/658</t>
  </si>
  <si>
    <t>NOTES:</t>
  </si>
  <si>
    <t>Requires external data (Actual cash balance)</t>
  </si>
  <si>
    <t>OK</t>
  </si>
  <si>
    <t>Requires external data (List of debts and assets)</t>
  </si>
  <si>
    <t>Requires external data (Debt listing)</t>
  </si>
  <si>
    <t>FY25</t>
  </si>
  <si>
    <t>Program Number</t>
  </si>
  <si>
    <t>Program Name</t>
  </si>
  <si>
    <t>021</t>
  </si>
  <si>
    <t>Sunrise HS Internal</t>
  </si>
  <si>
    <t>022</t>
  </si>
  <si>
    <t>Meadowood HS Internal</t>
  </si>
  <si>
    <t>294</t>
  </si>
  <si>
    <t>CCR HS Diploma</t>
  </si>
  <si>
    <t>325</t>
  </si>
  <si>
    <t>Teacher Supply Reimbursement</t>
  </si>
  <si>
    <t>352</t>
  </si>
  <si>
    <t>CCR - Dual Enrollment</t>
  </si>
  <si>
    <t>390</t>
  </si>
  <si>
    <t>AB 309 Block Grant</t>
  </si>
  <si>
    <t>633</t>
  </si>
  <si>
    <t>Title IA - Helping Disadvantaged Students</t>
  </si>
  <si>
    <t>639</t>
  </si>
  <si>
    <t>IDEA Part B Sp Ed Grants - Local Plan</t>
  </si>
  <si>
    <t>661</t>
  </si>
  <si>
    <t>Charter School Program Grant</t>
  </si>
  <si>
    <t>709</t>
  </si>
  <si>
    <t>Title II Part A - Improving Teacher Quality</t>
  </si>
  <si>
    <t>THIS IS A LIST OF PROGRAMS (MAINLY GRANTS) USED BY NSHS:</t>
  </si>
  <si>
    <t>Y/N</t>
  </si>
  <si>
    <t>Professional Development for OM</t>
  </si>
  <si>
    <t>RTC Bus Passes for students</t>
  </si>
  <si>
    <t>Teacher Supplies Grant: $190/# of FTE teachers</t>
  </si>
  <si>
    <t>Unemployment (SUI &amp; CEP) $32,500 cap</t>
  </si>
  <si>
    <t>GENERAL OVERVIEW</t>
  </si>
  <si>
    <t>I</t>
  </si>
  <si>
    <t>Consists of several worksheets, each are color-coded.</t>
  </si>
  <si>
    <t>A</t>
  </si>
  <si>
    <t>Yellow tabs - these are the ones that we will be working on to complete the budget builder process.</t>
  </si>
  <si>
    <t>B</t>
  </si>
  <si>
    <t>Blue tabs - these are informational.  They show the summaries.</t>
  </si>
  <si>
    <t xml:space="preserve">C </t>
  </si>
  <si>
    <t>Green tab - Only one.  This is where all of the information we are filling in is summarized.</t>
  </si>
  <si>
    <t>D</t>
  </si>
  <si>
    <t>Black tabs - These are not really necessary for the preparation of the budget builder.</t>
  </si>
  <si>
    <t xml:space="preserve"> </t>
  </si>
  <si>
    <t xml:space="preserve">   They list various future years and the import to Aptafund</t>
  </si>
  <si>
    <t>II</t>
  </si>
  <si>
    <t>Highlights</t>
  </si>
  <si>
    <t>What we are looking for is to complete the yellow tabs, and for the most part, internal items are highlighted.</t>
  </si>
  <si>
    <t>NEW ITEM:  We (CSO) are going to pre-fill in many of the numbers.  We will go over them as we come to them.</t>
  </si>
  <si>
    <t>III</t>
  </si>
  <si>
    <t>Rev &amp; Enroll Page</t>
  </si>
  <si>
    <t>School Name: Should be pre-filled for you.  If not, simply enter the name of your campus.</t>
  </si>
  <si>
    <t>Current Year Monthly Enrollment:</t>
  </si>
  <si>
    <t>This is the same format as for previous years.  Fill in the expected monthly enrollment</t>
  </si>
  <si>
    <t>If you fill in for only a month or two, the enrollment numbers will calculate incorrectly</t>
  </si>
  <si>
    <t>Fill in the demographic information (FRL #, SPED #, etc.)</t>
  </si>
  <si>
    <t>We have supplied the per pupil amount from the State.  It is subject to change, up or down.</t>
  </si>
  <si>
    <t>We (CSO) will pre-fill the amounts of grants available to be used for each school.</t>
  </si>
  <si>
    <t>Interesting factoid:  We can put in an expected growth rate for State funding; however, it's unpredictable</t>
  </si>
  <si>
    <t>These numbers show up in the black-tabbed future years for revenue growth</t>
  </si>
  <si>
    <t>The monthly enrollment numbers are not changeable.</t>
  </si>
  <si>
    <t>IV</t>
  </si>
  <si>
    <t>Payroll Page</t>
  </si>
  <si>
    <t>By far the most complicated page of the workbook</t>
  </si>
  <si>
    <t>You will once again fill out the items in yellow on the page, but if there are more than one individual, you will fill out</t>
  </si>
  <si>
    <t xml:space="preserve">  lines below it.</t>
  </si>
  <si>
    <t>C</t>
  </si>
  <si>
    <t>Line 6111 - Salaries - Teachers.  This is the line for EACs</t>
  </si>
  <si>
    <t>Name, Title are self-explanatory</t>
  </si>
  <si>
    <t>Annual rate is the contracted salary for the year.  ONLY BASE SALARY GOES ON THIS LINE</t>
  </si>
  <si>
    <t>EE/ER.  This is a referrence to PERS.  Employer paid (ER) or employee/employer paid (EE)</t>
  </si>
  <si>
    <t>The column that says "N".  Enter Y if the person will be counted as FTE.  N if they won't (student employees)</t>
  </si>
  <si>
    <t>Months column.  Enter a 1 for each month you expect the employee to be present.  Probably a 1 for each month.</t>
  </si>
  <si>
    <t>Line 6114 - Salaries: Licensed Admin.  This is for the DSAs</t>
  </si>
  <si>
    <t>Same process as for the EACs</t>
  </si>
  <si>
    <t>E</t>
  </si>
  <si>
    <t>Line 6117 - Salaries: Other Classified/Support Staff.  This line is for the Office Managers</t>
  </si>
  <si>
    <t>F</t>
  </si>
  <si>
    <t>Line 6127 - Temp Salaries: Other Classified/Support Staff.  This line is for student/hourly workers</t>
  </si>
  <si>
    <t>NOTE 1:  Put the hourly rate in the box</t>
  </si>
  <si>
    <t>NOTE 2: These are automatically calculated at 20 hours/wk.  If you want a different number of hours, you will need</t>
  </si>
  <si>
    <t>to make a request for change</t>
  </si>
  <si>
    <t>G</t>
  </si>
  <si>
    <t>Line 6151: Performance Incentives: Teachers.  Performance incentives for EACs</t>
  </si>
  <si>
    <t>Enter the individual incentive amount in the box.</t>
  </si>
  <si>
    <t>Enter a "1" in the months that you expect to get an incentive payment.  If you're not sure, just make sure that</t>
  </si>
  <si>
    <t>you get the right number of months (if you're going to get four, make sure that there are 4 months with a 1 in them.</t>
  </si>
  <si>
    <t>Sponsorship incentives.  If you are going to get a sponsorship incentive, you will need to put a separate line item</t>
  </si>
  <si>
    <t>for that payment.  It will have a different amount.</t>
  </si>
  <si>
    <t>H</t>
  </si>
  <si>
    <t>Line 6154 - Performance Incentives: Licensed Admin.  This is the line for PIs for DSAs</t>
  </si>
  <si>
    <t>Line 6157 - Performance Incentives: Other Classified/Support Staff.  PIs for Office Managers</t>
  </si>
  <si>
    <t>J</t>
  </si>
  <si>
    <t>Line 6161 - Extra Duties: Teachers.  This is for extra duty work expected to occur next year for EACs</t>
  </si>
  <si>
    <t>Make sure that you fill in the HOURLY rate in the appropriate column (column E)</t>
  </si>
  <si>
    <t>Make sure that you fill in the NUMBER OF HOURS for each month that extra duties is expected to occur.</t>
  </si>
  <si>
    <t>Line 6164 - Extra Duties: Licensed Admin.  This is the line for DSAs</t>
  </si>
  <si>
    <t>L</t>
  </si>
  <si>
    <t>Line 6167 - Extra Duties: Other Classified/Support Staff.  This is the line for Office Managers</t>
  </si>
  <si>
    <t>M</t>
  </si>
  <si>
    <t>Fringe Benefits are calculated automatically.   Same as previous years.</t>
  </si>
  <si>
    <t>V</t>
  </si>
  <si>
    <t>Exp Details Page</t>
  </si>
  <si>
    <t>These are broken down by object code.  The process for completing each object code is the same.</t>
  </si>
  <si>
    <t>The name of each object code is listed (i.e., OBJ 6300 is "Purchased Professional and Technical Services)</t>
  </si>
  <si>
    <t>Enter the function and grant (if applicable) that will be used to pay for the item</t>
  </si>
  <si>
    <t>Enter the name of the individual spending category</t>
  </si>
  <si>
    <t>Enter the "Quantity."  If it's monthly, use 12.  If it's a one-time charge, put "1"</t>
  </si>
  <si>
    <t>Enter the Cost per unit.  For example, for monthly costs of cleaning at $50 per month, enter $50</t>
  </si>
  <si>
    <t>You will notice that several items are pre-filled.  The pre-filled items are items that you normally do not have control over.</t>
  </si>
  <si>
    <t>If you believe that the amounts that come up for each item are incorrect, submit a request for change</t>
  </si>
  <si>
    <t>VI</t>
  </si>
  <si>
    <t>Request for Change Page</t>
  </si>
  <si>
    <t>This is where you make a request for CSO to make a change to a pre-filled item.</t>
  </si>
  <si>
    <t>We recognize that for some schools, the numbers don't always add up correctly.  If you would like for us to make a change to</t>
  </si>
  <si>
    <t>a protected field, fill out the "Request for Change."</t>
  </si>
  <si>
    <t>This gives us a written record of major items that need to be changed.</t>
  </si>
  <si>
    <t>VII</t>
  </si>
  <si>
    <t>Where it all comes together</t>
  </si>
  <si>
    <t>FY21 Page</t>
  </si>
  <si>
    <t>This page shows, month by month, how your revenue will flow into the bank.</t>
  </si>
  <si>
    <t>It also shows the expenses broken down on a monthly basis</t>
  </si>
  <si>
    <t>At the bottom of the sheet is the "cash flow" section; it shows how our cash is doing month by month</t>
  </si>
  <si>
    <t>VIII</t>
  </si>
  <si>
    <t>Summary Page</t>
  </si>
  <si>
    <t>At this point, you have filled in the budget lines</t>
  </si>
  <si>
    <t>The annual/full year shows the summary of all of your revenue and expenses broken down by category</t>
  </si>
  <si>
    <t>This is the view that is shown to the Board</t>
  </si>
  <si>
    <t>IX</t>
  </si>
  <si>
    <t>Buddget Page</t>
  </si>
  <si>
    <t>Again, this it the form that is shown to the Board.</t>
  </si>
  <si>
    <t>It shows the current year's projected actual amounts with next year's budget.</t>
  </si>
  <si>
    <t>This helps us to see where there are "problems" with the preparation of the budget.  If there's a 10% variation, expect that we will</t>
  </si>
  <si>
    <t xml:space="preserve">   want an explanation as to why.</t>
  </si>
  <si>
    <t>X</t>
  </si>
  <si>
    <t>MYP.  This is the expectations for looking into the future.  It makes critical assumptions to arrive at its numbers.</t>
  </si>
  <si>
    <t>For the revenue, we have assumed a 2% growth rate every two years, with a 0 growth rate for each alternating year.</t>
  </si>
  <si>
    <t>b</t>
  </si>
  <si>
    <t>For expenses, we have assumed a 2% growth rate every year.</t>
  </si>
  <si>
    <t xml:space="preserve">   This eans that the expenses will eventually overtake the revenue, at least with this set of assumptions.</t>
  </si>
  <si>
    <t>XI</t>
  </si>
  <si>
    <t>This is of great value to CSO in that it categorizes each revenue and expense into categories that are used by the State</t>
  </si>
  <si>
    <t>EE</t>
  </si>
  <si>
    <t>Y</t>
  </si>
  <si>
    <t>REVISED</t>
  </si>
  <si>
    <t>Director of Site Administration</t>
  </si>
  <si>
    <t>Office Manager</t>
  </si>
  <si>
    <t>Enter additional special program services here</t>
  </si>
  <si>
    <t>Enter additional registration fees, conferences and events here</t>
  </si>
  <si>
    <t>Enter additional cleaning services here</t>
  </si>
  <si>
    <t>Annual Fire Extinguisher Inspection and Permit</t>
  </si>
  <si>
    <t>Enter additional repairs and maintenance here</t>
  </si>
  <si>
    <t>Renting facility for ACT state testing</t>
  </si>
  <si>
    <t>Enter additional transportation services here</t>
  </si>
  <si>
    <t>Enter additional postage here</t>
  </si>
  <si>
    <t>Enter printing services here</t>
  </si>
  <si>
    <t>Enter additional supplies here</t>
  </si>
  <si>
    <t>Electricity Monthly (NV Energy)</t>
  </si>
  <si>
    <t>Revised Budget</t>
  </si>
  <si>
    <t>Original Budget approved on the 4/25/2019 Board Meeting</t>
  </si>
  <si>
    <t>Revised Budget approved on the 10/17/2019 Board Meeting</t>
  </si>
  <si>
    <t>FINAL</t>
  </si>
  <si>
    <t>Actual YTD</t>
  </si>
  <si>
    <t>Budget YTD</t>
  </si>
  <si>
    <t>ER</t>
  </si>
  <si>
    <t>Legal services hired at a rate of $300 per hour</t>
  </si>
  <si>
    <t>Student Worker</t>
  </si>
  <si>
    <t>Monthly travel, hotel, car rental, and per diem for EAC</t>
  </si>
  <si>
    <t>Exp Details</t>
  </si>
  <si>
    <t>69</t>
  </si>
  <si>
    <t>6340</t>
  </si>
  <si>
    <t>NA</t>
  </si>
  <si>
    <t>Monthly Integrita IT support services ($100/hr)</t>
  </si>
  <si>
    <t>Adjusted Area</t>
  </si>
  <si>
    <t>Unit Cost Area</t>
  </si>
  <si>
    <t>Adjusted</t>
  </si>
  <si>
    <t>NO</t>
  </si>
  <si>
    <t>YES</t>
  </si>
  <si>
    <t>ACTUAL</t>
  </si>
  <si>
    <t>Issue with amortization over the year and actual expenses  (3/20/202 Issue Resolved by JH Adjusted Table)</t>
  </si>
  <si>
    <t>Goal 10% Cash (apprx. 30 days)</t>
  </si>
  <si>
    <t>Nevada State High School (Henderson)</t>
  </si>
  <si>
    <t>Educational Advising Coordinator</t>
  </si>
  <si>
    <t>Ofelia Gundersen</t>
  </si>
  <si>
    <t>Melissa McCormick</t>
  </si>
  <si>
    <t>Andrea McDonald</t>
  </si>
  <si>
    <t>Shawntece Washington</t>
  </si>
  <si>
    <t>William Moser</t>
  </si>
  <si>
    <t>Jaxon Hoopes</t>
  </si>
  <si>
    <t>SPCSA Sponsorship Fees (1.5%)</t>
  </si>
  <si>
    <t>Water Monthly (City of Henderson)</t>
  </si>
  <si>
    <t>Enter additional utilities here</t>
  </si>
  <si>
    <t>Cleaning Monthly Services (Ultimate Building Services)</t>
  </si>
  <si>
    <t>Cleaning Quarterly Supplies (Ultimate Building Services)</t>
  </si>
  <si>
    <t>Carpet Cleaning Annual (Ultimate Building Services)</t>
  </si>
  <si>
    <t>Trash Monthly (Republic Services)</t>
  </si>
  <si>
    <t>Pest Control Monthly (Mountain View Pest Control)</t>
  </si>
  <si>
    <t>HVAC Maintenance Quarterly (RW Mechanical)</t>
  </si>
  <si>
    <t>Fire Alarm Monitoring Quarterly (AM Fire &amp; Electronic)</t>
  </si>
  <si>
    <t>Fire Alarm Monitoring Semi-Annual (AM Fire &amp; Electronic)</t>
  </si>
  <si>
    <t>Backflow Annual Services (DR Backflow)</t>
  </si>
  <si>
    <t>Cox Monthly Internet</t>
  </si>
  <si>
    <t>1000-390</t>
  </si>
  <si>
    <t>SNHD Annual Permit</t>
  </si>
  <si>
    <t>Fingerprinting fees for New EE's</t>
  </si>
  <si>
    <t>City of Henderson Annual Building Permit</t>
  </si>
  <si>
    <t xml:space="preserve">STUDENT REIMBURSEMENTS: Fall and Spring College Classes </t>
  </si>
  <si>
    <t>monthly</t>
  </si>
  <si>
    <t>BYU: Fall and Spring Fees - Tuition</t>
  </si>
  <si>
    <t>Board Approved: Proposed: 4/16/2020</t>
  </si>
  <si>
    <t>Year-to-Date</t>
  </si>
  <si>
    <t>FY20</t>
  </si>
  <si>
    <t>TENATIVE</t>
  </si>
  <si>
    <t>Enrollment</t>
  </si>
  <si>
    <t>SPCSA Enrollment CAP</t>
  </si>
  <si>
    <t>manual</t>
  </si>
  <si>
    <t>1000-633</t>
  </si>
  <si>
    <t>1000-658</t>
  </si>
  <si>
    <t>1000-639</t>
  </si>
  <si>
    <t>CSO only</t>
  </si>
  <si>
    <t>1790  NSHS at Sunrise</t>
  </si>
  <si>
    <t>1790  NSHS at Meadowwood</t>
  </si>
  <si>
    <t>3200  Reimb. for Teacher Supplies #FTE</t>
  </si>
  <si>
    <t>3200  Assembly Bill 309</t>
  </si>
  <si>
    <t>3200  College and Career Diploma (CCR)</t>
  </si>
  <si>
    <t>3200  College and Career Readiness (CCR)</t>
  </si>
  <si>
    <t>4500  CSP Dissemination</t>
  </si>
  <si>
    <t>4500  Title IA Grant</t>
  </si>
  <si>
    <t>4500  Title IIA Grant</t>
  </si>
  <si>
    <t>4500  Title III Grant</t>
  </si>
  <si>
    <t>4571  Special Education Part B</t>
  </si>
  <si>
    <t>Grants</t>
  </si>
  <si>
    <t>SSA03</t>
  </si>
  <si>
    <t>SSA04</t>
  </si>
  <si>
    <t>Fall</t>
  </si>
  <si>
    <t>Spring</t>
  </si>
  <si>
    <t>Study skills support (Nevada Education Consultants at $60/hr) based off 5% of all students enrolled</t>
  </si>
  <si>
    <t xml:space="preserve">Special Ed Consultants (Evaluations, IEP Nurse Reviews, Speech Path..) 50% of SPED count </t>
  </si>
  <si>
    <t>Professional Development for EAC</t>
  </si>
  <si>
    <t>Enter other professional services here</t>
  </si>
  <si>
    <t>Enter marketing services here</t>
  </si>
  <si>
    <t>2630-000</t>
  </si>
  <si>
    <t>Landscaping Monthly Services</t>
  </si>
  <si>
    <t>Landscaping Misc</t>
  </si>
  <si>
    <t>Carpet replacement</t>
  </si>
  <si>
    <t>Door repairs and replacement</t>
  </si>
  <si>
    <t>Ceiling tile replacement</t>
  </si>
  <si>
    <t>Building Lease: 233 N Stephanie Street ($9103.09 x 10 mo + $10,372.95 x 2 mo) = ave $9314.73/mo</t>
  </si>
  <si>
    <t>Annual property insurance for MASN</t>
  </si>
  <si>
    <t>Misc Advertising - Mailers</t>
  </si>
  <si>
    <t>NSHE Fall College Fees - Tuition $950/stu.</t>
  </si>
  <si>
    <t xml:space="preserve">Monthly travel, hotel, car rental, and per diem for DSA </t>
  </si>
  <si>
    <t xml:space="preserve">Monthly travel, hotel, car rental, and per diem for OM  </t>
  </si>
  <si>
    <t xml:space="preserve">NSHE Spring College Fees - Tuition $1100/stu. </t>
  </si>
  <si>
    <t xml:space="preserve">NSHE Fall College Fees - Textbook Fees $50/stu. </t>
  </si>
  <si>
    <t>Spring College Fees - Textbook Fees $65/stu.</t>
  </si>
  <si>
    <t xml:space="preserve">STUDENT Income verification form - Submission incentive $50/submission </t>
  </si>
  <si>
    <t>STUDENT Income verification form - FRL addt $50/eligible</t>
  </si>
  <si>
    <t>CCR: Fall College Fees - Textbook Fees $50/stu</t>
  </si>
  <si>
    <t>CCR: Spring College Fees - Textbook Fees $65/stu</t>
  </si>
  <si>
    <t>CCR: Student Stipends issued</t>
  </si>
  <si>
    <t xml:space="preserve">NSHE Fall College Fees - Technology Fees $100/stu.  </t>
  </si>
  <si>
    <t>CCR: Spring College Fees - Tuition $1600/stu</t>
  </si>
  <si>
    <t>CCR: Fall College Fees - Tuition $950/stu</t>
  </si>
  <si>
    <t xml:space="preserve">NSHE Spring College Fees - Technology Fees $135/stu. </t>
  </si>
  <si>
    <t xml:space="preserve">CCR: Fall College Fees - Technology Fees $100/stu. </t>
  </si>
  <si>
    <t xml:space="preserve">CCR: Spring College Fees - Textbook Fees $135/stu. </t>
  </si>
  <si>
    <t>Money order fee (student stipends and staff reimbursement)</t>
  </si>
  <si>
    <t>Roof repair</t>
  </si>
  <si>
    <t>Row Labels</t>
  </si>
  <si>
    <t>(blank)</t>
  </si>
  <si>
    <t>Grand Total</t>
  </si>
  <si>
    <t>Value</t>
  </si>
  <si>
    <t>0000-294</t>
  </si>
  <si>
    <t>0000-390</t>
  </si>
  <si>
    <t>Sum of Amount</t>
  </si>
  <si>
    <t>ok</t>
  </si>
  <si>
    <t>Payroll 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</si>
</sst>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_);_(@_)"/>
    <numFmt numFmtId="170" formatCode="_(* #,##0.00_);_(* \(#,##0.00\);_(* &quot;-&quot;_);_(@_)"/>
  </numFmts>
  <fonts count="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11"/>
      <name val="Calibri"/>
      <family val="2"/>
      <scheme val="minor"/>
    </font>
    <font>
      <sz val="8"/>
      <color theme="1"/>
      <name val="Tahoma"/>
      <family val="2"/>
    </font>
    <font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b/>
      <u val="double"/>
      <sz val="10"/>
      <name val="Calibri"/>
      <family val="2"/>
      <scheme val="minor"/>
    </font>
    <font>
      <b/>
      <u val="doubleAccounting"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u/>
      <sz val="8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sz val="9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7C9C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2" fillId="0" borderId="0"/>
    <xf numFmtId="0" fontId="3" fillId="2" borderId="1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3" fillId="0" borderId="0" applyFont="0" applyFill="0" applyBorder="0" applyAlignment="0" applyProtection="0"/>
    <xf numFmtId="14" fontId="3" fillId="0" borderId="0" applyFont="0" applyFill="0" applyBorder="0" applyProtection="0">
      <alignment horizontal="left"/>
    </xf>
    <xf numFmtId="0" fontId="4" fillId="0" borderId="1">
      <alignment horizontal="left"/>
    </xf>
    <xf numFmtId="2" fontId="3" fillId="0" borderId="0" applyFill="0" applyProtection="0"/>
    <xf numFmtId="0" fontId="4" fillId="2" borderId="4">
      <alignment horizontal="left"/>
    </xf>
    <xf numFmtId="0" fontId="4" fillId="2" borderId="5">
      <alignment horizontal="left"/>
    </xf>
    <xf numFmtId="0" fontId="3" fillId="0" borderId="0" applyFont="0" applyFill="0" applyBorder="0" applyAlignment="0" applyProtection="0"/>
    <xf numFmtId="49" fontId="3" fillId="0" borderId="6" applyFont="0" applyFill="0" applyBorder="0" applyAlignment="0" applyProtection="0">
      <alignment horizontal="right"/>
    </xf>
    <xf numFmtId="0" fontId="3" fillId="0" borderId="0">
      <alignment horizontal="left"/>
    </xf>
    <xf numFmtId="0" fontId="4" fillId="2" borderId="7">
      <alignment horizontal="left"/>
    </xf>
    <xf numFmtId="0" fontId="3" fillId="0" borderId="1">
      <alignment horizontal="left"/>
    </xf>
    <xf numFmtId="0" fontId="4" fillId="2" borderId="8">
      <alignment horizontal="left"/>
    </xf>
    <xf numFmtId="0" fontId="4" fillId="2" borderId="9">
      <alignment horizontal="left"/>
    </xf>
    <xf numFmtId="0" fontId="4" fillId="2" borderId="10">
      <alignment horizontal="left"/>
    </xf>
    <xf numFmtId="0" fontId="3" fillId="0" borderId="6">
      <alignment horizontal="right"/>
    </xf>
    <xf numFmtId="0" fontId="5" fillId="0" borderId="0"/>
    <xf numFmtId="0" fontId="3" fillId="2" borderId="2">
      <alignment horizontal="left"/>
    </xf>
    <xf numFmtId="0" fontId="3" fillId="2" borderId="3">
      <alignment horizontal="left"/>
    </xf>
    <xf numFmtId="0" fontId="3" fillId="2" borderId="2">
      <alignment horizontal="left"/>
    </xf>
    <xf numFmtId="0" fontId="3" fillId="2" borderId="3">
      <alignment horizontal="left"/>
    </xf>
    <xf numFmtId="0" fontId="3" fillId="0" borderId="0"/>
    <xf numFmtId="2" fontId="3" fillId="0" borderId="0" applyFill="0" applyBorder="0" applyProtection="0"/>
    <xf numFmtId="49" fontId="3" fillId="0" borderId="6" applyFont="0" applyFill="0" applyBorder="0" applyAlignment="0" applyProtection="0">
      <alignment horizontal="right"/>
    </xf>
    <xf numFmtId="0" fontId="3" fillId="2" borderId="2">
      <alignment horizontal="left"/>
    </xf>
    <xf numFmtId="0" fontId="3" fillId="2" borderId="3">
      <alignment horizontal="left"/>
    </xf>
    <xf numFmtId="0" fontId="3" fillId="2" borderId="2">
      <alignment horizontal="left"/>
    </xf>
    <xf numFmtId="0" fontId="3" fillId="2" borderId="3">
      <alignment horizontal="left"/>
    </xf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7" borderId="20" applyNumberFormat="0" applyAlignment="0" applyProtection="0"/>
    <xf numFmtId="0" fontId="20" fillId="8" borderId="21" applyNumberFormat="0" applyAlignment="0" applyProtection="0"/>
    <xf numFmtId="0" fontId="21" fillId="8" borderId="20" applyNumberFormat="0" applyAlignment="0" applyProtection="0"/>
    <xf numFmtId="0" fontId="22" fillId="0" borderId="22" applyNumberFormat="0" applyFill="0" applyAlignment="0" applyProtection="0"/>
    <xf numFmtId="0" fontId="23" fillId="9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43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24" applyNumberFormat="0" applyFont="0" applyAlignment="0" applyProtection="0"/>
    <xf numFmtId="0" fontId="7" fillId="0" borderId="0"/>
    <xf numFmtId="0" fontId="46" fillId="0" borderId="0"/>
    <xf numFmtId="43" fontId="7" fillId="0" borderId="0" applyFont="0" applyFill="0" applyBorder="0" applyAlignment="0" applyProtection="0"/>
  </cellStyleXfs>
  <cellXfs count="726">
    <xf numFmtId="0" fontId="0" fillId="0" borderId="0" xfId="0"/>
    <xf numFmtId="0" fontId="8" fillId="3" borderId="0" xfId="20" applyFont="1" applyFill="1"/>
    <xf numFmtId="41" fontId="8" fillId="3" borderId="0" xfId="20" applyNumberFormat="1" applyFont="1" applyFill="1"/>
    <xf numFmtId="41" fontId="8" fillId="3" borderId="0" xfId="20" applyNumberFormat="1" applyFont="1" applyFill="1" applyAlignment="1">
      <alignment wrapText="1"/>
    </xf>
    <xf numFmtId="41" fontId="8" fillId="3" borderId="0" xfId="20" applyNumberFormat="1" applyFont="1" applyFill="1" applyAlignment="1">
      <alignment horizontal="right"/>
    </xf>
    <xf numFmtId="0" fontId="9" fillId="3" borderId="0" xfId="20" applyFont="1" applyFill="1"/>
    <xf numFmtId="0" fontId="10" fillId="3" borderId="0" xfId="20" applyFont="1" applyFill="1"/>
    <xf numFmtId="41" fontId="8" fillId="3" borderId="0" xfId="20" applyNumberFormat="1" applyFont="1" applyFill="1" applyAlignment="1">
      <alignment horizontal="center"/>
    </xf>
    <xf numFmtId="41" fontId="10" fillId="3" borderId="0" xfId="20" applyNumberFormat="1" applyFont="1" applyFill="1"/>
    <xf numFmtId="0" fontId="10" fillId="3" borderId="0" xfId="20" applyFont="1" applyFill="1" applyAlignment="1">
      <alignment vertical="center" wrapText="1"/>
    </xf>
    <xf numFmtId="0" fontId="8" fillId="3" borderId="0" xfId="20" applyFont="1" applyFill="1" applyAlignment="1">
      <alignment horizontal="right" vertical="top"/>
    </xf>
    <xf numFmtId="0" fontId="11" fillId="3" borderId="0" xfId="20" applyFont="1" applyFill="1"/>
    <xf numFmtId="0" fontId="6" fillId="3" borderId="0" xfId="20" applyFont="1" applyFill="1" applyAlignment="1">
      <alignment horizontal="left"/>
    </xf>
    <xf numFmtId="0" fontId="8" fillId="3" borderId="0" xfId="20" applyFont="1" applyFill="1" applyAlignment="1">
      <alignment horizontal="left"/>
    </xf>
    <xf numFmtId="0" fontId="1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20" applyFont="1" applyFill="1" applyAlignment="1">
      <alignment horizontal="center"/>
    </xf>
    <xf numFmtId="41" fontId="10" fillId="3" borderId="0" xfId="20" applyNumberFormat="1" applyFont="1" applyFill="1" applyAlignment="1">
      <alignment horizontal="center"/>
    </xf>
    <xf numFmtId="0" fontId="10" fillId="3" borderId="0" xfId="2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6" fillId="3" borderId="0" xfId="0" applyFont="1" applyFill="1"/>
    <xf numFmtId="41" fontId="12" fillId="3" borderId="0" xfId="0" applyNumberFormat="1" applyFont="1" applyFill="1"/>
    <xf numFmtId="41" fontId="6" fillId="3" borderId="0" xfId="0" applyNumberFormat="1" applyFont="1" applyFill="1"/>
    <xf numFmtId="41" fontId="8" fillId="3" borderId="0" xfId="20" applyNumberFormat="1" applyFont="1" applyFill="1" applyBorder="1" applyAlignment="1">
      <alignment wrapText="1"/>
    </xf>
    <xf numFmtId="41" fontId="8" fillId="3" borderId="0" xfId="20" applyNumberFormat="1" applyFont="1" applyFill="1" applyBorder="1"/>
    <xf numFmtId="41" fontId="8" fillId="3" borderId="0" xfId="20" applyNumberFormat="1" applyFont="1" applyFill="1" applyBorder="1" applyAlignment="1">
      <alignment horizontal="center" vertical="center" wrapText="1"/>
    </xf>
    <xf numFmtId="41" fontId="12" fillId="3" borderId="0" xfId="0" applyNumberFormat="1" applyFont="1" applyFill="1" applyBorder="1"/>
    <xf numFmtId="0" fontId="12" fillId="3" borderId="0" xfId="0" applyFont="1" applyFill="1" applyBorder="1"/>
    <xf numFmtId="0" fontId="8" fillId="3" borderId="0" xfId="20" applyFont="1" applyFill="1" applyBorder="1"/>
    <xf numFmtId="41" fontId="10" fillId="3" borderId="0" xfId="20" applyNumberFormat="1" applyFont="1" applyFill="1" applyBorder="1"/>
    <xf numFmtId="0" fontId="10" fillId="3" borderId="0" xfId="20" applyFont="1" applyFill="1" applyBorder="1"/>
    <xf numFmtId="0" fontId="10" fillId="3" borderId="0" xfId="20" applyFont="1" applyFill="1" applyBorder="1" applyAlignment="1">
      <alignment vertical="center" wrapText="1"/>
    </xf>
    <xf numFmtId="164" fontId="30" fillId="36" borderId="11" xfId="20" applyNumberFormat="1" applyFont="1" applyFill="1" applyBorder="1" applyAlignment="1">
      <alignment horizontal="center" vertical="center" wrapText="1"/>
    </xf>
    <xf numFmtId="41" fontId="10" fillId="3" borderId="0" xfId="20" applyNumberFormat="1" applyFont="1" applyFill="1" applyAlignment="1">
      <alignment wrapText="1"/>
    </xf>
    <xf numFmtId="41" fontId="8" fillId="37" borderId="11" xfId="20" applyNumberFormat="1" applyFont="1" applyFill="1" applyBorder="1" applyAlignment="1">
      <alignment horizontal="center" vertical="center" wrapText="1"/>
    </xf>
    <xf numFmtId="41" fontId="10" fillId="38" borderId="0" xfId="2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41" fontId="10" fillId="3" borderId="0" xfId="0" applyNumberFormat="1" applyFont="1" applyFill="1"/>
    <xf numFmtId="41" fontId="8" fillId="3" borderId="0" xfId="0" applyNumberFormat="1" applyFont="1" applyFill="1"/>
    <xf numFmtId="41" fontId="10" fillId="3" borderId="0" xfId="0" applyNumberFormat="1" applyFont="1" applyFill="1" applyBorder="1"/>
    <xf numFmtId="41" fontId="10" fillId="3" borderId="1" xfId="0" applyNumberFormat="1" applyFont="1" applyFill="1" applyBorder="1"/>
    <xf numFmtId="41" fontId="8" fillId="3" borderId="1" xfId="0" applyNumberFormat="1" applyFont="1" applyFill="1" applyBorder="1"/>
    <xf numFmtId="41" fontId="10" fillId="38" borderId="0" xfId="0" applyNumberFormat="1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41" fontId="10" fillId="38" borderId="1" xfId="0" applyNumberFormat="1" applyFont="1" applyFill="1" applyBorder="1"/>
    <xf numFmtId="41" fontId="8" fillId="3" borderId="0" xfId="0" applyNumberFormat="1" applyFont="1" applyFill="1" applyBorder="1"/>
    <xf numFmtId="0" fontId="31" fillId="3" borderId="0" xfId="0" applyFont="1" applyFill="1" applyAlignment="1">
      <alignment horizontal="left"/>
    </xf>
    <xf numFmtId="41" fontId="10" fillId="3" borderId="5" xfId="0" applyNumberFormat="1" applyFont="1" applyFill="1" applyBorder="1"/>
    <xf numFmtId="41" fontId="10" fillId="38" borderId="5" xfId="0" applyNumberFormat="1" applyFont="1" applyFill="1" applyBorder="1"/>
    <xf numFmtId="41" fontId="10" fillId="38" borderId="0" xfId="0" applyNumberFormat="1" applyFont="1" applyFill="1" applyBorder="1"/>
    <xf numFmtId="0" fontId="8" fillId="3" borderId="0" xfId="20" applyFont="1" applyFill="1" applyAlignment="1">
      <alignment vertical="center"/>
    </xf>
    <xf numFmtId="0" fontId="10" fillId="3" borderId="0" xfId="20" applyFont="1" applyFill="1" applyAlignment="1">
      <alignment vertical="center"/>
    </xf>
    <xf numFmtId="0" fontId="32" fillId="3" borderId="0" xfId="20" applyFont="1" applyFill="1" applyAlignment="1">
      <alignment horizontal="left" vertical="center"/>
    </xf>
    <xf numFmtId="164" fontId="30" fillId="36" borderId="4" xfId="20" applyNumberFormat="1" applyFont="1" applyFill="1" applyBorder="1" applyAlignment="1">
      <alignment horizontal="center" vertical="center" wrapText="1"/>
    </xf>
    <xf numFmtId="41" fontId="10" fillId="3" borderId="26" xfId="0" applyNumberFormat="1" applyFont="1" applyFill="1" applyBorder="1"/>
    <xf numFmtId="41" fontId="8" fillId="39" borderId="11" xfId="20" applyNumberFormat="1" applyFont="1" applyFill="1" applyBorder="1" applyAlignment="1">
      <alignment horizontal="center" vertical="center" wrapText="1"/>
    </xf>
    <xf numFmtId="41" fontId="8" fillId="39" borderId="0" xfId="0" applyNumberFormat="1" applyFont="1" applyFill="1"/>
    <xf numFmtId="41" fontId="8" fillId="39" borderId="1" xfId="0" applyNumberFormat="1" applyFont="1" applyFill="1" applyBorder="1"/>
    <xf numFmtId="41" fontId="8" fillId="39" borderId="5" xfId="0" applyNumberFormat="1" applyFont="1" applyFill="1" applyBorder="1"/>
    <xf numFmtId="41" fontId="8" fillId="39" borderId="0" xfId="0" applyNumberFormat="1" applyFont="1" applyFill="1" applyBorder="1"/>
    <xf numFmtId="0" fontId="33" fillId="3" borderId="0" xfId="0" applyFont="1" applyFill="1"/>
    <xf numFmtId="0" fontId="33" fillId="3" borderId="0" xfId="0" applyFont="1" applyFill="1" applyAlignment="1">
      <alignment horizontal="center"/>
    </xf>
    <xf numFmtId="0" fontId="34" fillId="35" borderId="11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/>
    </xf>
    <xf numFmtId="41" fontId="10" fillId="35" borderId="0" xfId="0" applyNumberFormat="1" applyFont="1" applyFill="1"/>
    <xf numFmtId="41" fontId="10" fillId="35" borderId="0" xfId="20" applyNumberFormat="1" applyFont="1" applyFill="1" applyBorder="1" applyAlignment="1">
      <alignment horizontal="center" vertical="center" wrapText="1"/>
    </xf>
    <xf numFmtId="41" fontId="10" fillId="35" borderId="1" xfId="0" applyNumberFormat="1" applyFont="1" applyFill="1" applyBorder="1"/>
    <xf numFmtId="41" fontId="10" fillId="35" borderId="1" xfId="20" applyNumberFormat="1" applyFont="1" applyFill="1" applyBorder="1" applyAlignment="1">
      <alignment horizontal="center" vertical="center" wrapText="1"/>
    </xf>
    <xf numFmtId="41" fontId="8" fillId="35" borderId="1" xfId="0" applyNumberFormat="1" applyFont="1" applyFill="1" applyBorder="1"/>
    <xf numFmtId="41" fontId="8" fillId="35" borderId="0" xfId="0" applyNumberFormat="1" applyFont="1" applyFill="1"/>
    <xf numFmtId="41" fontId="10" fillId="35" borderId="5" xfId="0" applyNumberFormat="1" applyFont="1" applyFill="1" applyBorder="1"/>
    <xf numFmtId="41" fontId="8" fillId="35" borderId="0" xfId="0" applyNumberFormat="1" applyFont="1" applyFill="1" applyBorder="1"/>
    <xf numFmtId="41" fontId="10" fillId="35" borderId="0" xfId="0" applyNumberFormat="1" applyFont="1" applyFill="1" applyBorder="1"/>
    <xf numFmtId="0" fontId="38" fillId="3" borderId="0" xfId="0" applyFont="1" applyFill="1" applyAlignment="1">
      <alignment horizontal="right"/>
    </xf>
    <xf numFmtId="41" fontId="38" fillId="3" borderId="0" xfId="0" applyNumberFormat="1" applyFont="1" applyFill="1" applyAlignment="1">
      <alignment horizontal="right"/>
    </xf>
    <xf numFmtId="0" fontId="39" fillId="3" borderId="0" xfId="0" applyFont="1" applyFill="1" applyAlignment="1">
      <alignment horizontal="right"/>
    </xf>
    <xf numFmtId="0" fontId="10" fillId="3" borderId="0" xfId="20" applyFont="1" applyFill="1" applyAlignment="1">
      <alignment horizontal="center" vertical="center"/>
    </xf>
    <xf numFmtId="41" fontId="10" fillId="3" borderId="0" xfId="0" applyNumberFormat="1" applyFont="1" applyFill="1" applyAlignment="1"/>
    <xf numFmtId="0" fontId="41" fillId="3" borderId="0" xfId="20" applyFont="1" applyFill="1"/>
    <xf numFmtId="0" fontId="42" fillId="3" borderId="0" xfId="20" applyFont="1" applyFill="1" applyAlignment="1">
      <alignment horizontal="left"/>
    </xf>
    <xf numFmtId="0" fontId="43" fillId="3" borderId="0" xfId="20" applyFont="1" applyFill="1"/>
    <xf numFmtId="0" fontId="31" fillId="3" borderId="0" xfId="20" applyFont="1" applyFill="1" applyAlignment="1">
      <alignment vertical="center" wrapText="1"/>
    </xf>
    <xf numFmtId="0" fontId="31" fillId="3" borderId="0" xfId="20" applyFont="1" applyFill="1" applyAlignment="1">
      <alignment vertical="center"/>
    </xf>
    <xf numFmtId="0" fontId="31" fillId="3" borderId="0" xfId="0" applyFont="1" applyFill="1"/>
    <xf numFmtId="0" fontId="44" fillId="3" borderId="0" xfId="0" applyFont="1" applyFill="1"/>
    <xf numFmtId="0" fontId="45" fillId="3" borderId="0" xfId="0" applyFont="1" applyFill="1"/>
    <xf numFmtId="0" fontId="8" fillId="35" borderId="9" xfId="20" applyFont="1" applyFill="1" applyBorder="1" applyAlignment="1">
      <alignment horizontal="right" vertical="top"/>
    </xf>
    <xf numFmtId="41" fontId="10" fillId="35" borderId="8" xfId="0" applyNumberFormat="1" applyFont="1" applyFill="1" applyBorder="1" applyAlignment="1"/>
    <xf numFmtId="41" fontId="10" fillId="35" borderId="10" xfId="0" applyNumberFormat="1" applyFont="1" applyFill="1" applyBorder="1" applyAlignment="1"/>
    <xf numFmtId="0" fontId="8" fillId="3" borderId="27" xfId="20" applyFont="1" applyFill="1" applyBorder="1" applyAlignment="1">
      <alignment horizontal="right" vertical="top"/>
    </xf>
    <xf numFmtId="41" fontId="10" fillId="3" borderId="0" xfId="0" applyNumberFormat="1" applyFont="1" applyFill="1" applyBorder="1" applyAlignment="1"/>
    <xf numFmtId="41" fontId="10" fillId="3" borderId="28" xfId="0" applyNumberFormat="1" applyFont="1" applyFill="1" applyBorder="1" applyAlignment="1"/>
    <xf numFmtId="0" fontId="8" fillId="35" borderId="27" xfId="20" applyFont="1" applyFill="1" applyBorder="1" applyAlignment="1">
      <alignment horizontal="right" vertical="top"/>
    </xf>
    <xf numFmtId="0" fontId="40" fillId="35" borderId="0" xfId="20" applyFont="1" applyFill="1" applyBorder="1" applyAlignment="1">
      <alignment horizontal="right" vertical="center"/>
    </xf>
    <xf numFmtId="41" fontId="10" fillId="35" borderId="0" xfId="0" applyNumberFormat="1" applyFont="1" applyFill="1" applyBorder="1" applyAlignment="1"/>
    <xf numFmtId="41" fontId="10" fillId="41" borderId="0" xfId="20" applyNumberFormat="1" applyFont="1" applyFill="1" applyBorder="1" applyAlignment="1">
      <alignment horizontal="center" vertical="center" wrapText="1"/>
    </xf>
    <xf numFmtId="41" fontId="10" fillId="41" borderId="5" xfId="0" applyNumberFormat="1" applyFont="1" applyFill="1" applyBorder="1"/>
    <xf numFmtId="41" fontId="10" fillId="41" borderId="0" xfId="0" applyNumberFormat="1" applyFont="1" applyFill="1"/>
    <xf numFmtId="41" fontId="10" fillId="41" borderId="0" xfId="0" applyNumberFormat="1" applyFont="1" applyFill="1" applyBorder="1"/>
    <xf numFmtId="42" fontId="47" fillId="43" borderId="27" xfId="66" quotePrefix="1" applyNumberFormat="1" applyFont="1" applyFill="1" applyBorder="1"/>
    <xf numFmtId="42" fontId="47" fillId="43" borderId="28" xfId="66" quotePrefix="1" applyNumberFormat="1" applyFont="1" applyFill="1" applyBorder="1"/>
    <xf numFmtId="42" fontId="47" fillId="3" borderId="0" xfId="66" quotePrefix="1" applyNumberFormat="1" applyFont="1" applyFill="1"/>
    <xf numFmtId="41" fontId="47" fillId="43" borderId="27" xfId="66" quotePrefix="1" applyNumberFormat="1" applyFont="1" applyFill="1" applyBorder="1"/>
    <xf numFmtId="41" fontId="47" fillId="43" borderId="28" xfId="66" quotePrefix="1" applyNumberFormat="1" applyFont="1" applyFill="1" applyBorder="1"/>
    <xf numFmtId="41" fontId="47" fillId="3" borderId="0" xfId="66" quotePrefix="1" applyNumberFormat="1" applyFont="1" applyFill="1"/>
    <xf numFmtId="41" fontId="47" fillId="43" borderId="27" xfId="20" applyNumberFormat="1" applyFont="1" applyFill="1" applyBorder="1"/>
    <xf numFmtId="41" fontId="47" fillId="43" borderId="28" xfId="20" applyNumberFormat="1" applyFont="1" applyFill="1" applyBorder="1"/>
    <xf numFmtId="41" fontId="47" fillId="3" borderId="0" xfId="20" applyNumberFormat="1" applyFont="1" applyFill="1"/>
    <xf numFmtId="41" fontId="48" fillId="43" borderId="27" xfId="20" applyNumberFormat="1" applyFont="1" applyFill="1" applyBorder="1"/>
    <xf numFmtId="41" fontId="48" fillId="43" borderId="28" xfId="20" applyNumberFormat="1" applyFont="1" applyFill="1" applyBorder="1"/>
    <xf numFmtId="41" fontId="48" fillId="3" borderId="0" xfId="20" applyNumberFormat="1" applyFont="1" applyFill="1"/>
    <xf numFmtId="42" fontId="47" fillId="43" borderId="27" xfId="20" applyNumberFormat="1" applyFont="1" applyFill="1" applyBorder="1"/>
    <xf numFmtId="42" fontId="47" fillId="43" borderId="28" xfId="20" applyNumberFormat="1" applyFont="1" applyFill="1" applyBorder="1"/>
    <xf numFmtId="42" fontId="47" fillId="3" borderId="0" xfId="20" applyNumberFormat="1" applyFont="1" applyFill="1"/>
    <xf numFmtId="38" fontId="49" fillId="3" borderId="0" xfId="20" applyNumberFormat="1" applyFont="1" applyFill="1"/>
    <xf numFmtId="38" fontId="50" fillId="3" borderId="0" xfId="20" applyNumberFormat="1" applyFont="1" applyFill="1"/>
    <xf numFmtId="0" fontId="47" fillId="3" borderId="0" xfId="20" applyFont="1" applyFill="1"/>
    <xf numFmtId="0" fontId="51" fillId="3" borderId="0" xfId="20" applyFont="1" applyFill="1"/>
    <xf numFmtId="0" fontId="51" fillId="3" borderId="0" xfId="20" applyFont="1" applyFill="1" applyAlignment="1">
      <alignment horizontal="left"/>
    </xf>
    <xf numFmtId="0" fontId="47" fillId="3" borderId="0" xfId="20" applyFont="1" applyFill="1" applyAlignment="1">
      <alignment horizontal="left"/>
    </xf>
    <xf numFmtId="0" fontId="52" fillId="3" borderId="0" xfId="20" applyFont="1" applyFill="1" applyAlignment="1">
      <alignment horizontal="center"/>
    </xf>
    <xf numFmtId="49" fontId="51" fillId="3" borderId="0" xfId="20" applyNumberFormat="1" applyFont="1" applyFill="1"/>
    <xf numFmtId="49" fontId="47" fillId="3" borderId="0" xfId="20" applyNumberFormat="1" applyFont="1" applyFill="1"/>
    <xf numFmtId="0" fontId="51" fillId="42" borderId="11" xfId="20" applyFont="1" applyFill="1" applyBorder="1" applyAlignment="1">
      <alignment horizontal="center"/>
    </xf>
    <xf numFmtId="0" fontId="51" fillId="3" borderId="0" xfId="20" applyFont="1" applyFill="1" applyAlignment="1">
      <alignment horizontal="center"/>
    </xf>
    <xf numFmtId="0" fontId="47" fillId="43" borderId="9" xfId="20" applyFont="1" applyFill="1" applyBorder="1"/>
    <xf numFmtId="0" fontId="47" fillId="43" borderId="8" xfId="20" applyFont="1" applyFill="1" applyBorder="1"/>
    <xf numFmtId="0" fontId="47" fillId="43" borderId="10" xfId="20" applyFont="1" applyFill="1" applyBorder="1"/>
    <xf numFmtId="0" fontId="47" fillId="3" borderId="0" xfId="108" applyFont="1" applyFill="1"/>
    <xf numFmtId="49" fontId="47" fillId="3" borderId="0" xfId="20" applyNumberFormat="1" applyFont="1" applyFill="1" applyAlignment="1">
      <alignment horizontal="left" vertical="center"/>
    </xf>
    <xf numFmtId="42" fontId="53" fillId="43" borderId="27" xfId="20" applyNumberFormat="1" applyFont="1" applyFill="1" applyBorder="1"/>
    <xf numFmtId="42" fontId="53" fillId="43" borderId="28" xfId="20" applyNumberFormat="1" applyFont="1" applyFill="1" applyBorder="1"/>
    <xf numFmtId="42" fontId="53" fillId="3" borderId="0" xfId="20" applyNumberFormat="1" applyFont="1" applyFill="1"/>
    <xf numFmtId="41" fontId="51" fillId="3" borderId="0" xfId="20" applyNumberFormat="1" applyFont="1" applyFill="1"/>
    <xf numFmtId="0" fontId="47" fillId="3" borderId="0" xfId="20" applyFont="1" applyFill="1" applyAlignment="1">
      <alignment vertical="center"/>
    </xf>
    <xf numFmtId="42" fontId="51" fillId="43" borderId="27" xfId="20" applyNumberFormat="1" applyFont="1" applyFill="1" applyBorder="1"/>
    <xf numFmtId="42" fontId="51" fillId="43" borderId="28" xfId="20" applyNumberFormat="1" applyFont="1" applyFill="1" applyBorder="1"/>
    <xf numFmtId="42" fontId="51" fillId="3" borderId="0" xfId="20" applyNumberFormat="1" applyFont="1" applyFill="1"/>
    <xf numFmtId="38" fontId="51" fillId="3" borderId="0" xfId="20" applyNumberFormat="1" applyFont="1" applyFill="1"/>
    <xf numFmtId="38" fontId="51" fillId="43" borderId="27" xfId="20" applyNumberFormat="1" applyFont="1" applyFill="1" applyBorder="1"/>
    <xf numFmtId="38" fontId="51" fillId="43" borderId="28" xfId="20" applyNumberFormat="1" applyFont="1" applyFill="1" applyBorder="1"/>
    <xf numFmtId="38" fontId="47" fillId="3" borderId="0" xfId="20" applyNumberFormat="1" applyFont="1" applyFill="1" applyAlignment="1">
      <alignment horizontal="left"/>
    </xf>
    <xf numFmtId="41" fontId="54" fillId="43" borderId="27" xfId="20" applyNumberFormat="1" applyFont="1" applyFill="1" applyBorder="1"/>
    <xf numFmtId="42" fontId="55" fillId="3" borderId="0" xfId="20" applyNumberFormat="1" applyFont="1" applyFill="1"/>
    <xf numFmtId="38" fontId="51" fillId="3" borderId="0" xfId="20" applyNumberFormat="1" applyFont="1" applyFill="1" applyAlignment="1">
      <alignment horizontal="left"/>
    </xf>
    <xf numFmtId="42" fontId="56" fillId="43" borderId="27" xfId="20" applyNumberFormat="1" applyFont="1" applyFill="1" applyBorder="1"/>
    <xf numFmtId="42" fontId="57" fillId="3" borderId="0" xfId="20" applyNumberFormat="1" applyFont="1" applyFill="1"/>
    <xf numFmtId="0" fontId="47" fillId="43" borderId="3" xfId="20" applyFont="1" applyFill="1" applyBorder="1"/>
    <xf numFmtId="0" fontId="58" fillId="3" borderId="0" xfId="20" applyFont="1" applyFill="1" applyAlignment="1">
      <alignment vertical="center"/>
    </xf>
    <xf numFmtId="41" fontId="47" fillId="43" borderId="0" xfId="20" applyNumberFormat="1" applyFont="1" applyFill="1" applyBorder="1"/>
    <xf numFmtId="42" fontId="47" fillId="43" borderId="0" xfId="20" applyNumberFormat="1" applyFont="1" applyFill="1" applyBorder="1"/>
    <xf numFmtId="42" fontId="47" fillId="43" borderId="0" xfId="20" applyNumberFormat="1" applyFont="1" applyFill="1" applyBorder="1" applyAlignment="1">
      <alignment horizontal="right"/>
    </xf>
    <xf numFmtId="42" fontId="47" fillId="3" borderId="0" xfId="20" applyNumberFormat="1" applyFont="1" applyFill="1" applyBorder="1"/>
    <xf numFmtId="0" fontId="59" fillId="3" borderId="0" xfId="0" applyFont="1" applyFill="1"/>
    <xf numFmtId="0" fontId="47" fillId="35" borderId="9" xfId="20" applyFont="1" applyFill="1" applyBorder="1" applyAlignment="1">
      <alignment vertical="center"/>
    </xf>
    <xf numFmtId="41" fontId="47" fillId="35" borderId="8" xfId="20" applyNumberFormat="1" applyFont="1" applyFill="1" applyBorder="1" applyAlignment="1">
      <alignment vertical="center"/>
    </xf>
    <xf numFmtId="0" fontId="60" fillId="3" borderId="0" xfId="0" applyFont="1" applyFill="1"/>
    <xf numFmtId="0" fontId="51" fillId="35" borderId="27" xfId="20" applyFont="1" applyFill="1" applyBorder="1" applyAlignment="1">
      <alignment vertical="center"/>
    </xf>
    <xf numFmtId="42" fontId="51" fillId="35" borderId="29" xfId="20" applyNumberFormat="1" applyFont="1" applyFill="1" applyBorder="1" applyAlignment="1">
      <alignment vertical="center"/>
    </xf>
    <xf numFmtId="42" fontId="51" fillId="35" borderId="30" xfId="20" applyNumberFormat="1" applyFont="1" applyFill="1" applyBorder="1" applyAlignment="1">
      <alignment vertical="center"/>
    </xf>
    <xf numFmtId="0" fontId="10" fillId="35" borderId="2" xfId="20" applyFont="1" applyFill="1" applyBorder="1" applyAlignment="1">
      <alignment vertical="center"/>
    </xf>
    <xf numFmtId="166" fontId="61" fillId="35" borderId="1" xfId="33" applyNumberFormat="1" applyFont="1" applyFill="1" applyBorder="1" applyAlignment="1">
      <alignment vertical="center"/>
    </xf>
    <xf numFmtId="0" fontId="10" fillId="35" borderId="1" xfId="20" applyFont="1" applyFill="1" applyBorder="1" applyAlignment="1">
      <alignment vertical="center"/>
    </xf>
    <xf numFmtId="41" fontId="10" fillId="35" borderId="1" xfId="20" applyNumberFormat="1" applyFont="1" applyFill="1" applyBorder="1" applyAlignment="1">
      <alignment vertical="center"/>
    </xf>
    <xf numFmtId="166" fontId="61" fillId="35" borderId="3" xfId="33" applyNumberFormat="1" applyFont="1" applyFill="1" applyBorder="1" applyAlignment="1">
      <alignment vertical="center"/>
    </xf>
    <xf numFmtId="166" fontId="61" fillId="3" borderId="0" xfId="33" applyNumberFormat="1" applyFont="1" applyFill="1" applyAlignment="1">
      <alignment vertical="center"/>
    </xf>
    <xf numFmtId="41" fontId="10" fillId="3" borderId="0" xfId="20" applyNumberFormat="1" applyFont="1" applyFill="1" applyAlignment="1">
      <alignment vertical="center"/>
    </xf>
    <xf numFmtId="0" fontId="51" fillId="35" borderId="0" xfId="20" applyFont="1" applyFill="1" applyBorder="1" applyAlignment="1">
      <alignment vertical="center"/>
    </xf>
    <xf numFmtId="41" fontId="51" fillId="35" borderId="0" xfId="20" applyNumberFormat="1" applyFont="1" applyFill="1" applyBorder="1" applyAlignment="1">
      <alignment vertical="center"/>
    </xf>
    <xf numFmtId="42" fontId="47" fillId="43" borderId="0" xfId="66" quotePrefix="1" applyNumberFormat="1" applyFont="1" applyFill="1" applyBorder="1"/>
    <xf numFmtId="41" fontId="47" fillId="43" borderId="0" xfId="66" quotePrefix="1" applyNumberFormat="1" applyFont="1" applyFill="1" applyBorder="1"/>
    <xf numFmtId="41" fontId="48" fillId="43" borderId="0" xfId="20" applyNumberFormat="1" applyFont="1" applyFill="1" applyBorder="1"/>
    <xf numFmtId="42" fontId="53" fillId="43" borderId="0" xfId="20" applyNumberFormat="1" applyFont="1" applyFill="1" applyBorder="1"/>
    <xf numFmtId="41" fontId="47" fillId="43" borderId="0" xfId="20" applyNumberFormat="1" applyFont="1" applyFill="1" applyBorder="1" applyAlignment="1">
      <alignment horizontal="right"/>
    </xf>
    <xf numFmtId="41" fontId="48" fillId="43" borderId="0" xfId="20" applyNumberFormat="1" applyFont="1" applyFill="1" applyBorder="1" applyAlignment="1">
      <alignment horizontal="right"/>
    </xf>
    <xf numFmtId="0" fontId="34" fillId="3" borderId="11" xfId="0" applyFont="1" applyFill="1" applyBorder="1" applyAlignment="1">
      <alignment horizontal="center" vertical="center"/>
    </xf>
    <xf numFmtId="41" fontId="33" fillId="35" borderId="11" xfId="0" applyNumberFormat="1" applyFont="1" applyFill="1" applyBorder="1"/>
    <xf numFmtId="41" fontId="34" fillId="35" borderId="11" xfId="0" applyNumberFormat="1" applyFont="1" applyFill="1" applyBorder="1"/>
    <xf numFmtId="42" fontId="10" fillId="3" borderId="0" xfId="0" applyNumberFormat="1" applyFont="1" applyFill="1"/>
    <xf numFmtId="42" fontId="8" fillId="3" borderId="26" xfId="0" applyNumberFormat="1" applyFont="1" applyFill="1" applyBorder="1"/>
    <xf numFmtId="42" fontId="8" fillId="3" borderId="0" xfId="0" applyNumberFormat="1" applyFont="1" applyFill="1"/>
    <xf numFmtId="41" fontId="47" fillId="35" borderId="5" xfId="20" applyNumberFormat="1" applyFont="1" applyFill="1" applyBorder="1" applyAlignment="1">
      <alignment vertical="center"/>
    </xf>
    <xf numFmtId="41" fontId="47" fillId="35" borderId="7" xfId="20" applyNumberFormat="1" applyFont="1" applyFill="1" applyBorder="1" applyAlignment="1">
      <alignment vertical="center"/>
    </xf>
    <xf numFmtId="42" fontId="10" fillId="38" borderId="0" xfId="20" applyNumberFormat="1" applyFont="1" applyFill="1" applyBorder="1" applyAlignment="1">
      <alignment horizontal="center" vertical="center" wrapText="1"/>
    </xf>
    <xf numFmtId="42" fontId="10" fillId="3" borderId="0" xfId="0" applyNumberFormat="1" applyFont="1" applyFill="1" applyBorder="1"/>
    <xf numFmtId="42" fontId="8" fillId="39" borderId="0" xfId="0" applyNumberFormat="1" applyFont="1" applyFill="1"/>
    <xf numFmtId="42" fontId="10" fillId="35" borderId="0" xfId="0" applyNumberFormat="1" applyFont="1" applyFill="1"/>
    <xf numFmtId="42" fontId="10" fillId="35" borderId="0" xfId="20" applyNumberFormat="1" applyFont="1" applyFill="1" applyBorder="1" applyAlignment="1">
      <alignment horizontal="center" vertical="center" wrapText="1"/>
    </xf>
    <xf numFmtId="42" fontId="8" fillId="38" borderId="26" xfId="0" applyNumberFormat="1" applyFont="1" applyFill="1" applyBorder="1"/>
    <xf numFmtId="42" fontId="8" fillId="3" borderId="0" xfId="0" applyNumberFormat="1" applyFont="1" applyFill="1" applyBorder="1"/>
    <xf numFmtId="42" fontId="8" fillId="39" borderId="26" xfId="0" applyNumberFormat="1" applyFont="1" applyFill="1" applyBorder="1"/>
    <xf numFmtId="42" fontId="8" fillId="35" borderId="26" xfId="0" applyNumberFormat="1" applyFont="1" applyFill="1" applyBorder="1"/>
    <xf numFmtId="42" fontId="10" fillId="3" borderId="26" xfId="0" applyNumberFormat="1" applyFont="1" applyFill="1" applyBorder="1"/>
    <xf numFmtId="42" fontId="10" fillId="35" borderId="26" xfId="0" applyNumberFormat="1" applyFont="1" applyFill="1" applyBorder="1"/>
    <xf numFmtId="41" fontId="10" fillId="41" borderId="1" xfId="0" applyNumberFormat="1" applyFont="1" applyFill="1" applyBorder="1"/>
    <xf numFmtId="0" fontId="63" fillId="3" borderId="0" xfId="20" applyFont="1" applyFill="1"/>
    <xf numFmtId="0" fontId="64" fillId="3" borderId="0" xfId="20" applyFont="1" applyFill="1" applyAlignment="1">
      <alignment horizontal="left"/>
    </xf>
    <xf numFmtId="0" fontId="10" fillId="3" borderId="0" xfId="0" applyNumberFormat="1" applyFont="1" applyFill="1" applyAlignment="1">
      <alignment horizontal="center"/>
    </xf>
    <xf numFmtId="41" fontId="8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right" indent="1"/>
    </xf>
    <xf numFmtId="0" fontId="8" fillId="3" borderId="0" xfId="0" applyFont="1" applyFill="1" applyAlignment="1">
      <alignment horizontal="right" indent="1"/>
    </xf>
    <xf numFmtId="10" fontId="30" fillId="42" borderId="0" xfId="20" applyNumberFormat="1" applyFont="1" applyFill="1" applyBorder="1" applyAlignment="1">
      <alignment horizontal="center" vertical="center" wrapText="1"/>
    </xf>
    <xf numFmtId="9" fontId="8" fillId="37" borderId="0" xfId="2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/>
    </xf>
    <xf numFmtId="0" fontId="10" fillId="3" borderId="0" xfId="0" quotePrefix="1" applyNumberFormat="1" applyFont="1" applyFill="1" applyAlignment="1">
      <alignment horizontal="center"/>
    </xf>
    <xf numFmtId="0" fontId="33" fillId="3" borderId="0" xfId="0" applyNumberFormat="1" applyFont="1" applyFill="1" applyAlignment="1">
      <alignment horizontal="center"/>
    </xf>
    <xf numFmtId="0" fontId="8" fillId="0" borderId="0" xfId="20" applyFont="1" applyFill="1" applyAlignment="1">
      <alignment horizontal="right" vertical="top"/>
    </xf>
    <xf numFmtId="0" fontId="40" fillId="3" borderId="0" xfId="20" applyFont="1" applyFill="1" applyBorder="1" applyAlignment="1">
      <alignment horizontal="right" vertical="center"/>
    </xf>
    <xf numFmtId="10" fontId="40" fillId="3" borderId="0" xfId="33" applyNumberFormat="1" applyFont="1" applyFill="1" applyBorder="1" applyAlignment="1">
      <alignment horizontal="right" vertical="center"/>
    </xf>
    <xf numFmtId="10" fontId="10" fillId="3" borderId="0" xfId="33" applyNumberFormat="1" applyFont="1" applyFill="1" applyBorder="1" applyAlignment="1"/>
    <xf numFmtId="10" fontId="40" fillId="3" borderId="28" xfId="33" applyNumberFormat="1" applyFont="1" applyFill="1" applyBorder="1" applyAlignment="1">
      <alignment horizontal="right" vertical="center"/>
    </xf>
    <xf numFmtId="10" fontId="10" fillId="35" borderId="0" xfId="0" applyNumberFormat="1" applyFont="1" applyFill="1" applyBorder="1" applyAlignment="1"/>
    <xf numFmtId="10" fontId="10" fillId="35" borderId="28" xfId="0" applyNumberFormat="1" applyFont="1" applyFill="1" applyBorder="1" applyAlignment="1"/>
    <xf numFmtId="0" fontId="8" fillId="35" borderId="2" xfId="20" applyFont="1" applyFill="1" applyBorder="1" applyAlignment="1">
      <alignment horizontal="right" vertical="top"/>
    </xf>
    <xf numFmtId="0" fontId="40" fillId="35" borderId="1" xfId="20" applyFont="1" applyFill="1" applyBorder="1" applyAlignment="1">
      <alignment horizontal="right" vertical="center"/>
    </xf>
    <xf numFmtId="41" fontId="10" fillId="35" borderId="1" xfId="0" applyNumberFormat="1" applyFont="1" applyFill="1" applyBorder="1" applyAlignment="1"/>
    <xf numFmtId="10" fontId="40" fillId="35" borderId="1" xfId="33" applyNumberFormat="1" applyFont="1" applyFill="1" applyBorder="1" applyAlignment="1">
      <alignment horizontal="right" vertical="center"/>
    </xf>
    <xf numFmtId="10" fontId="10" fillId="35" borderId="1" xfId="33" applyNumberFormat="1" applyFont="1" applyFill="1" applyBorder="1" applyAlignment="1"/>
    <xf numFmtId="10" fontId="40" fillId="35" borderId="3" xfId="33" applyNumberFormat="1" applyFont="1" applyFill="1" applyBorder="1" applyAlignment="1">
      <alignment horizontal="right" vertical="center"/>
    </xf>
    <xf numFmtId="9" fontId="67" fillId="3" borderId="0" xfId="33" applyFont="1" applyFill="1"/>
    <xf numFmtId="9" fontId="10" fillId="38" borderId="0" xfId="33" applyFont="1" applyFill="1" applyBorder="1" applyAlignment="1">
      <alignment horizontal="center" vertical="center" wrapText="1"/>
    </xf>
    <xf numFmtId="0" fontId="30" fillId="36" borderId="31" xfId="20" applyNumberFormat="1" applyFont="1" applyFill="1" applyBorder="1" applyAlignment="1">
      <alignment horizontal="center" vertical="center" wrapText="1"/>
    </xf>
    <xf numFmtId="166" fontId="50" fillId="3" borderId="0" xfId="33" applyNumberFormat="1" applyFont="1" applyFill="1" applyAlignment="1">
      <alignment horizontal="center"/>
    </xf>
    <xf numFmtId="0" fontId="51" fillId="3" borderId="0" xfId="20" applyFont="1" applyFill="1" applyAlignment="1"/>
    <xf numFmtId="0" fontId="69" fillId="36" borderId="11" xfId="20" applyFont="1" applyFill="1" applyBorder="1" applyAlignment="1">
      <alignment horizontal="center"/>
    </xf>
    <xf numFmtId="0" fontId="47" fillId="3" borderId="0" xfId="20" applyFont="1" applyFill="1" applyAlignment="1"/>
    <xf numFmtId="0" fontId="52" fillId="3" borderId="0" xfId="20" applyFont="1" applyFill="1" applyBorder="1" applyAlignment="1">
      <alignment horizontal="left"/>
    </xf>
    <xf numFmtId="0" fontId="52" fillId="3" borderId="0" xfId="20" applyFont="1" applyFill="1" applyAlignment="1">
      <alignment horizontal="left"/>
    </xf>
    <xf numFmtId="0" fontId="52" fillId="3" borderId="0" xfId="20" applyFont="1" applyFill="1"/>
    <xf numFmtId="0" fontId="52" fillId="3" borderId="0" xfId="20" applyFont="1" applyFill="1" applyBorder="1"/>
    <xf numFmtId="41" fontId="52" fillId="3" borderId="11" xfId="20" applyNumberFormat="1" applyFont="1" applyFill="1" applyBorder="1"/>
    <xf numFmtId="38" fontId="51" fillId="3" borderId="0" xfId="20" applyNumberFormat="1" applyFont="1" applyFill="1" applyBorder="1"/>
    <xf numFmtId="42" fontId="56" fillId="43" borderId="0" xfId="20" applyNumberFormat="1" applyFont="1" applyFill="1" applyBorder="1"/>
    <xf numFmtId="38" fontId="51" fillId="43" borderId="0" xfId="20" applyNumberFormat="1" applyFont="1" applyFill="1" applyBorder="1"/>
    <xf numFmtId="42" fontId="56" fillId="3" borderId="0" xfId="20" applyNumberFormat="1" applyFont="1" applyFill="1" applyBorder="1"/>
    <xf numFmtId="42" fontId="51" fillId="43" borderId="0" xfId="20" applyNumberFormat="1" applyFont="1" applyFill="1" applyBorder="1"/>
    <xf numFmtId="41" fontId="54" fillId="43" borderId="0" xfId="20" applyNumberFormat="1" applyFont="1" applyFill="1" applyBorder="1"/>
    <xf numFmtId="42" fontId="56" fillId="43" borderId="2" xfId="20" applyNumberFormat="1" applyFont="1" applyFill="1" applyBorder="1"/>
    <xf numFmtId="42" fontId="56" fillId="43" borderId="1" xfId="20" applyNumberFormat="1" applyFont="1" applyFill="1" applyBorder="1"/>
    <xf numFmtId="38" fontId="51" fillId="43" borderId="3" xfId="20" applyNumberFormat="1" applyFont="1" applyFill="1" applyBorder="1"/>
    <xf numFmtId="0" fontId="65" fillId="3" borderId="0" xfId="20" applyFont="1" applyFill="1"/>
    <xf numFmtId="0" fontId="47" fillId="3" borderId="0" xfId="20" applyFont="1" applyFill="1" applyAlignment="1">
      <alignment horizontal="left" indent="1"/>
    </xf>
    <xf numFmtId="166" fontId="50" fillId="43" borderId="2" xfId="33" applyNumberFormat="1" applyFont="1" applyFill="1" applyBorder="1" applyAlignment="1">
      <alignment horizontal="center"/>
    </xf>
    <xf numFmtId="166" fontId="50" fillId="43" borderId="1" xfId="33" applyNumberFormat="1" applyFont="1" applyFill="1" applyBorder="1" applyAlignment="1">
      <alignment horizontal="center"/>
    </xf>
    <xf numFmtId="166" fontId="50" fillId="43" borderId="3" xfId="33" applyNumberFormat="1" applyFont="1" applyFill="1" applyBorder="1" applyAlignment="1">
      <alignment horizontal="center"/>
    </xf>
    <xf numFmtId="166" fontId="49" fillId="43" borderId="3" xfId="33" applyNumberFormat="1" applyFont="1" applyFill="1" applyBorder="1"/>
    <xf numFmtId="41" fontId="10" fillId="43" borderId="0" xfId="0" applyNumberFormat="1" applyFont="1" applyFill="1"/>
    <xf numFmtId="42" fontId="10" fillId="43" borderId="0" xfId="0" applyNumberFormat="1" applyFont="1" applyFill="1"/>
    <xf numFmtId="41" fontId="10" fillId="43" borderId="5" xfId="0" applyNumberFormat="1" applyFont="1" applyFill="1" applyBorder="1"/>
    <xf numFmtId="41" fontId="10" fillId="43" borderId="0" xfId="0" applyNumberFormat="1" applyFont="1" applyFill="1" applyBorder="1"/>
    <xf numFmtId="41" fontId="8" fillId="43" borderId="1" xfId="0" applyNumberFormat="1" applyFont="1" applyFill="1" applyBorder="1"/>
    <xf numFmtId="41" fontId="8" fillId="43" borderId="0" xfId="0" applyNumberFormat="1" applyFont="1" applyFill="1"/>
    <xf numFmtId="41" fontId="8" fillId="43" borderId="0" xfId="0" applyNumberFormat="1" applyFont="1" applyFill="1" applyBorder="1"/>
    <xf numFmtId="42" fontId="8" fillId="43" borderId="26" xfId="0" applyNumberFormat="1" applyFont="1" applyFill="1" applyBorder="1"/>
    <xf numFmtId="43" fontId="73" fillId="3" borderId="0" xfId="20" applyNumberFormat="1" applyFont="1" applyFill="1" applyAlignment="1">
      <alignment horizontal="right"/>
    </xf>
    <xf numFmtId="43" fontId="74" fillId="3" borderId="0" xfId="20" applyNumberFormat="1" applyFont="1" applyFill="1" applyAlignment="1">
      <alignment horizontal="right"/>
    </xf>
    <xf numFmtId="43" fontId="74" fillId="3" borderId="0" xfId="20" applyNumberFormat="1" applyFont="1" applyFill="1" applyAlignment="1">
      <alignment horizontal="right" vertical="center" wrapText="1"/>
    </xf>
    <xf numFmtId="43" fontId="74" fillId="3" borderId="0" xfId="0" applyNumberFormat="1" applyFont="1" applyFill="1" applyAlignment="1">
      <alignment horizontal="right"/>
    </xf>
    <xf numFmtId="43" fontId="75" fillId="3" borderId="0" xfId="0" applyNumberFormat="1" applyFont="1" applyFill="1" applyAlignment="1">
      <alignment horizontal="right"/>
    </xf>
    <xf numFmtId="49" fontId="76" fillId="46" borderId="34" xfId="0" applyNumberFormat="1" applyFont="1" applyFill="1" applyBorder="1"/>
    <xf numFmtId="49" fontId="76" fillId="46" borderId="35" xfId="0" applyNumberFormat="1" applyFont="1" applyFill="1" applyBorder="1"/>
    <xf numFmtId="49" fontId="76" fillId="0" borderId="35" xfId="0" applyNumberFormat="1" applyFont="1" applyBorder="1"/>
    <xf numFmtId="49" fontId="77" fillId="46" borderId="36" xfId="0" applyNumberFormat="1" applyFont="1" applyFill="1" applyBorder="1" applyAlignment="1">
      <alignment horizontal="center"/>
    </xf>
    <xf numFmtId="49" fontId="77" fillId="46" borderId="11" xfId="0" applyNumberFormat="1" applyFont="1" applyFill="1" applyBorder="1" applyAlignment="1">
      <alignment horizontal="center"/>
    </xf>
    <xf numFmtId="49" fontId="77" fillId="0" borderId="11" xfId="0" applyNumberFormat="1" applyFont="1" applyBorder="1" applyAlignment="1">
      <alignment horizontal="center"/>
    </xf>
    <xf numFmtId="49" fontId="76" fillId="0" borderId="11" xfId="0" applyNumberFormat="1" applyFont="1" applyBorder="1"/>
    <xf numFmtId="49" fontId="77" fillId="46" borderId="37" xfId="0" applyNumberFormat="1" applyFont="1" applyFill="1" applyBorder="1" applyAlignment="1">
      <alignment wrapText="1"/>
    </xf>
    <xf numFmtId="49" fontId="77" fillId="46" borderId="38" xfId="0" applyNumberFormat="1" applyFont="1" applyFill="1" applyBorder="1" applyAlignment="1">
      <alignment wrapText="1"/>
    </xf>
    <xf numFmtId="49" fontId="77" fillId="0" borderId="38" xfId="0" applyNumberFormat="1" applyFont="1" applyBorder="1" applyAlignment="1">
      <alignment wrapText="1"/>
    </xf>
    <xf numFmtId="49" fontId="3" fillId="46" borderId="33" xfId="0" applyNumberFormat="1" applyFont="1" applyFill="1" applyBorder="1"/>
    <xf numFmtId="49" fontId="3" fillId="0" borderId="11" xfId="0" applyNumberFormat="1" applyFont="1" applyBorder="1"/>
    <xf numFmtId="49" fontId="3" fillId="46" borderId="11" xfId="0" applyNumberFormat="1" applyFont="1" applyFill="1" applyBorder="1"/>
    <xf numFmtId="49" fontId="79" fillId="0" borderId="35" xfId="0" applyNumberFormat="1" applyFont="1" applyBorder="1"/>
    <xf numFmtId="49" fontId="79" fillId="0" borderId="11" xfId="0" applyNumberFormat="1" applyFont="1" applyBorder="1"/>
    <xf numFmtId="49" fontId="80" fillId="0" borderId="38" xfId="0" applyNumberFormat="1" applyFont="1" applyBorder="1" applyAlignment="1">
      <alignment wrapText="1"/>
    </xf>
    <xf numFmtId="49" fontId="80" fillId="0" borderId="11" xfId="0" applyNumberFormat="1" applyFont="1" applyBorder="1"/>
    <xf numFmtId="168" fontId="8" fillId="3" borderId="0" xfId="109" applyNumberFormat="1" applyFont="1" applyFill="1"/>
    <xf numFmtId="168" fontId="8" fillId="3" borderId="0" xfId="109" applyNumberFormat="1" applyFont="1" applyFill="1" applyAlignment="1">
      <alignment horizontal="center"/>
    </xf>
    <xf numFmtId="168" fontId="33" fillId="3" borderId="0" xfId="109" applyNumberFormat="1" applyFont="1" applyFill="1"/>
    <xf numFmtId="168" fontId="34" fillId="35" borderId="11" xfId="109" applyNumberFormat="1" applyFont="1" applyFill="1" applyBorder="1" applyAlignment="1">
      <alignment horizontal="center" vertical="center"/>
    </xf>
    <xf numFmtId="168" fontId="33" fillId="3" borderId="0" xfId="109" applyNumberFormat="1" applyFont="1" applyFill="1" applyBorder="1"/>
    <xf numFmtId="168" fontId="34" fillId="3" borderId="0" xfId="109" applyNumberFormat="1" applyFont="1" applyFill="1" applyAlignment="1">
      <alignment horizontal="right"/>
    </xf>
    <xf numFmtId="168" fontId="0" fillId="3" borderId="0" xfId="109" applyNumberFormat="1" applyFont="1" applyFill="1"/>
    <xf numFmtId="44" fontId="70" fillId="3" borderId="0" xfId="32" applyFont="1" applyFill="1"/>
    <xf numFmtId="44" fontId="70" fillId="3" borderId="0" xfId="32" applyFont="1" applyFill="1" applyAlignment="1">
      <alignment wrapText="1"/>
    </xf>
    <xf numFmtId="44" fontId="70" fillId="3" borderId="0" xfId="32" applyFont="1" applyFill="1" applyAlignment="1">
      <alignment horizontal="center"/>
    </xf>
    <xf numFmtId="44" fontId="71" fillId="3" borderId="0" xfId="32" applyFont="1" applyFill="1"/>
    <xf numFmtId="44" fontId="70" fillId="45" borderId="11" xfId="32" applyFont="1" applyFill="1" applyBorder="1" applyAlignment="1">
      <alignment horizontal="center" vertical="center"/>
    </xf>
    <xf numFmtId="44" fontId="72" fillId="3" borderId="0" xfId="32" applyFont="1" applyFill="1"/>
    <xf numFmtId="49" fontId="8" fillId="3" borderId="0" xfId="20" applyNumberFormat="1" applyFont="1" applyFill="1" applyAlignment="1">
      <alignment horizontal="center"/>
    </xf>
    <xf numFmtId="49" fontId="10" fillId="3" borderId="0" xfId="20" applyNumberFormat="1" applyFont="1" applyFill="1" applyAlignment="1">
      <alignment horizontal="center"/>
    </xf>
    <xf numFmtId="49" fontId="33" fillId="3" borderId="0" xfId="0" applyNumberFormat="1" applyFont="1" applyFill="1" applyAlignment="1">
      <alignment horizontal="center"/>
    </xf>
    <xf numFmtId="49" fontId="34" fillId="35" borderId="11" xfId="0" applyNumberFormat="1" applyFont="1" applyFill="1" applyBorder="1" applyAlignment="1">
      <alignment horizontal="center" vertical="center"/>
    </xf>
    <xf numFmtId="49" fontId="33" fillId="3" borderId="0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8" fillId="3" borderId="0" xfId="20" applyNumberFormat="1" applyFont="1" applyFill="1"/>
    <xf numFmtId="49" fontId="8" fillId="3" borderId="0" xfId="20" applyNumberFormat="1" applyFont="1" applyFill="1" applyAlignment="1">
      <alignment horizontal="left"/>
    </xf>
    <xf numFmtId="49" fontId="10" fillId="3" borderId="0" xfId="20" applyNumberFormat="1" applyFont="1" applyFill="1"/>
    <xf numFmtId="49" fontId="33" fillId="3" borderId="0" xfId="0" applyNumberFormat="1" applyFont="1" applyFill="1"/>
    <xf numFmtId="49" fontId="33" fillId="3" borderId="0" xfId="0" applyNumberFormat="1" applyFont="1" applyFill="1" applyBorder="1"/>
    <xf numFmtId="49" fontId="33" fillId="3" borderId="0" xfId="0" applyNumberFormat="1" applyFont="1" applyFill="1" applyAlignment="1">
      <alignment horizontal="left"/>
    </xf>
    <xf numFmtId="49" fontId="0" fillId="3" borderId="0" xfId="0" applyNumberFormat="1" applyFill="1"/>
    <xf numFmtId="0" fontId="33" fillId="3" borderId="0" xfId="0" applyFont="1" applyFill="1" applyProtection="1"/>
    <xf numFmtId="0" fontId="34" fillId="3" borderId="0" xfId="0" applyFont="1" applyFill="1" applyAlignment="1" applyProtection="1">
      <alignment horizontal="center"/>
    </xf>
    <xf numFmtId="0" fontId="33" fillId="3" borderId="0" xfId="0" applyFont="1" applyFill="1" applyAlignment="1" applyProtection="1">
      <alignment horizontal="center"/>
    </xf>
    <xf numFmtId="44" fontId="33" fillId="3" borderId="0" xfId="32" applyFont="1" applyFill="1" applyBorder="1" applyProtection="1"/>
    <xf numFmtId="0" fontId="33" fillId="3" borderId="0" xfId="0" applyFont="1" applyFill="1" applyBorder="1" applyProtection="1"/>
    <xf numFmtId="0" fontId="33" fillId="3" borderId="0" xfId="0" applyFont="1" applyFill="1" applyBorder="1" applyAlignment="1" applyProtection="1">
      <alignment horizontal="center"/>
    </xf>
    <xf numFmtId="0" fontId="34" fillId="3" borderId="0" xfId="0" applyFont="1" applyFill="1" applyAlignment="1" applyProtection="1">
      <alignment horizontal="left" indent="2"/>
    </xf>
    <xf numFmtId="44" fontId="34" fillId="3" borderId="0" xfId="0" applyNumberFormat="1" applyFont="1" applyFill="1" applyBorder="1" applyProtection="1"/>
    <xf numFmtId="44" fontId="34" fillId="3" borderId="0" xfId="0" applyNumberFormat="1" applyFont="1" applyFill="1" applyProtection="1"/>
    <xf numFmtId="0" fontId="34" fillId="3" borderId="0" xfId="0" applyFont="1" applyFill="1" applyProtection="1"/>
    <xf numFmtId="10" fontId="10" fillId="3" borderId="11" xfId="33" applyNumberFormat="1" applyFont="1" applyFill="1" applyBorder="1" applyProtection="1"/>
    <xf numFmtId="10" fontId="33" fillId="3" borderId="0" xfId="33" applyNumberFormat="1" applyFont="1" applyFill="1" applyBorder="1" applyProtection="1"/>
    <xf numFmtId="10" fontId="33" fillId="3" borderId="11" xfId="0" applyNumberFormat="1" applyFont="1" applyFill="1" applyBorder="1" applyProtection="1"/>
    <xf numFmtId="10" fontId="33" fillId="3" borderId="0" xfId="0" applyNumberFormat="1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Alignment="1" applyProtection="1">
      <alignment horizontal="center"/>
    </xf>
    <xf numFmtId="0" fontId="66" fillId="3" borderId="0" xfId="0" applyFont="1" applyFill="1" applyProtection="1"/>
    <xf numFmtId="0" fontId="66" fillId="3" borderId="0" xfId="0" applyFont="1" applyFill="1" applyAlignment="1" applyProtection="1">
      <alignment horizontal="center"/>
    </xf>
    <xf numFmtId="10" fontId="66" fillId="3" borderId="11" xfId="0" applyNumberFormat="1" applyFont="1" applyFill="1" applyBorder="1" applyProtection="1"/>
    <xf numFmtId="44" fontId="33" fillId="3" borderId="0" xfId="32" applyFont="1" applyFill="1" applyProtection="1"/>
    <xf numFmtId="44" fontId="66" fillId="3" borderId="0" xfId="32" applyFont="1" applyFill="1" applyProtection="1"/>
    <xf numFmtId="0" fontId="33" fillId="3" borderId="11" xfId="33" applyNumberFormat="1" applyFont="1" applyFill="1" applyBorder="1" applyProtection="1"/>
    <xf numFmtId="167" fontId="33" fillId="3" borderId="11" xfId="33" applyNumberFormat="1" applyFont="1" applyFill="1" applyBorder="1" applyProtection="1"/>
    <xf numFmtId="10" fontId="30" fillId="42" borderId="0" xfId="33" applyNumberFormat="1" applyFont="1" applyFill="1" applyBorder="1" applyAlignment="1">
      <alignment horizontal="center" vertical="center" wrapText="1"/>
    </xf>
    <xf numFmtId="170" fontId="8" fillId="3" borderId="0" xfId="20" applyNumberFormat="1" applyFont="1" applyFill="1" applyAlignment="1">
      <alignment wrapText="1"/>
    </xf>
    <xf numFmtId="170" fontId="8" fillId="3" borderId="0" xfId="20" applyNumberFormat="1" applyFont="1" applyFill="1"/>
    <xf numFmtId="170" fontId="8" fillId="3" borderId="0" xfId="20" applyNumberFormat="1" applyFont="1" applyFill="1" applyAlignment="1">
      <alignment horizontal="center"/>
    </xf>
    <xf numFmtId="170" fontId="8" fillId="39" borderId="11" xfId="20" applyNumberFormat="1" applyFont="1" applyFill="1" applyBorder="1" applyAlignment="1">
      <alignment horizontal="center" vertical="center" wrapText="1"/>
    </xf>
    <xf numFmtId="170" fontId="8" fillId="39" borderId="0" xfId="0" applyNumberFormat="1" applyFont="1" applyFill="1"/>
    <xf numFmtId="170" fontId="8" fillId="39" borderId="5" xfId="0" applyNumberFormat="1" applyFont="1" applyFill="1" applyBorder="1"/>
    <xf numFmtId="170" fontId="8" fillId="39" borderId="0" xfId="0" applyNumberFormat="1" applyFont="1" applyFill="1" applyBorder="1"/>
    <xf numFmtId="170" fontId="8" fillId="39" borderId="1" xfId="0" applyNumberFormat="1" applyFont="1" applyFill="1" applyBorder="1"/>
    <xf numFmtId="170" fontId="8" fillId="39" borderId="26" xfId="0" applyNumberFormat="1" applyFont="1" applyFill="1" applyBorder="1"/>
    <xf numFmtId="170" fontId="8" fillId="3" borderId="0" xfId="0" applyNumberFormat="1" applyFont="1" applyFill="1"/>
    <xf numFmtId="170" fontId="6" fillId="3" borderId="0" xfId="0" applyNumberFormat="1" applyFont="1" applyFill="1"/>
    <xf numFmtId="170" fontId="8" fillId="39" borderId="0" xfId="20" applyNumberFormat="1" applyFont="1" applyFill="1" applyBorder="1" applyAlignment="1">
      <alignment horizontal="center" vertical="center" wrapText="1"/>
    </xf>
    <xf numFmtId="41" fontId="10" fillId="3" borderId="0" xfId="32" applyNumberFormat="1" applyFont="1" applyFill="1" applyBorder="1" applyProtection="1"/>
    <xf numFmtId="41" fontId="8" fillId="3" borderId="0" xfId="0" applyNumberFormat="1" applyFont="1" applyFill="1" applyBorder="1" applyProtection="1"/>
    <xf numFmtId="41" fontId="8" fillId="3" borderId="0" xfId="0" applyNumberFormat="1" applyFont="1" applyFill="1" applyProtection="1"/>
    <xf numFmtId="41" fontId="10" fillId="3" borderId="0" xfId="0" applyNumberFormat="1" applyFont="1" applyFill="1" applyAlignment="1" applyProtection="1">
      <alignment horizontal="right"/>
    </xf>
    <xf numFmtId="41" fontId="10" fillId="3" borderId="0" xfId="0" applyNumberFormat="1" applyFont="1" applyFill="1" applyProtection="1"/>
    <xf numFmtId="169" fontId="33" fillId="3" borderId="0" xfId="0" applyNumberFormat="1" applyFont="1" applyFill="1" applyAlignment="1" applyProtection="1">
      <alignment horizontal="center"/>
    </xf>
    <xf numFmtId="169" fontId="66" fillId="3" borderId="0" xfId="0" applyNumberFormat="1" applyFont="1" applyFill="1" applyAlignment="1" applyProtection="1">
      <alignment horizontal="center"/>
    </xf>
    <xf numFmtId="0" fontId="83" fillId="0" borderId="0" xfId="0" applyFont="1"/>
    <xf numFmtId="168" fontId="0" fillId="0" borderId="0" xfId="109" applyNumberFormat="1" applyFont="1"/>
    <xf numFmtId="168" fontId="83" fillId="0" borderId="0" xfId="109" applyNumberFormat="1" applyFont="1"/>
    <xf numFmtId="49" fontId="0" fillId="0" borderId="0" xfId="0" applyNumberFormat="1"/>
    <xf numFmtId="49" fontId="83" fillId="0" borderId="0" xfId="0" applyNumberFormat="1" applyFont="1"/>
    <xf numFmtId="168" fontId="8" fillId="3" borderId="0" xfId="109" applyNumberFormat="1" applyFont="1" applyFill="1" applyAlignment="1">
      <alignment wrapText="1"/>
    </xf>
    <xf numFmtId="168" fontId="8" fillId="39" borderId="11" xfId="109" applyNumberFormat="1" applyFont="1" applyFill="1" applyBorder="1" applyAlignment="1">
      <alignment horizontal="center" vertical="center" wrapText="1"/>
    </xf>
    <xf numFmtId="168" fontId="8" fillId="39" borderId="0" xfId="109" applyNumberFormat="1" applyFont="1" applyFill="1"/>
    <xf numFmtId="168" fontId="8" fillId="39" borderId="5" xfId="109" applyNumberFormat="1" applyFont="1" applyFill="1" applyBorder="1"/>
    <xf numFmtId="168" fontId="8" fillId="39" borderId="0" xfId="109" applyNumberFormat="1" applyFont="1" applyFill="1" applyBorder="1"/>
    <xf numFmtId="168" fontId="8" fillId="39" borderId="1" xfId="109" applyNumberFormat="1" applyFont="1" applyFill="1" applyBorder="1"/>
    <xf numFmtId="168" fontId="8" fillId="39" borderId="26" xfId="109" applyNumberFormat="1" applyFont="1" applyFill="1" applyBorder="1"/>
    <xf numFmtId="168" fontId="6" fillId="3" borderId="0" xfId="109" applyNumberFormat="1" applyFont="1" applyFill="1"/>
    <xf numFmtId="168" fontId="8" fillId="3" borderId="0" xfId="109" applyNumberFormat="1" applyFont="1" applyFill="1" applyAlignment="1">
      <alignment horizontal="right"/>
    </xf>
    <xf numFmtId="168" fontId="30" fillId="36" borderId="11" xfId="109" applyNumberFormat="1" applyFont="1" applyFill="1" applyBorder="1" applyAlignment="1">
      <alignment horizontal="center" vertical="center" wrapText="1"/>
    </xf>
    <xf numFmtId="168" fontId="10" fillId="3" borderId="0" xfId="109" applyNumberFormat="1" applyFont="1" applyFill="1"/>
    <xf numFmtId="168" fontId="10" fillId="3" borderId="5" xfId="109" applyNumberFormat="1" applyFont="1" applyFill="1" applyBorder="1"/>
    <xf numFmtId="168" fontId="10" fillId="3" borderId="0" xfId="109" applyNumberFormat="1" applyFont="1" applyFill="1" applyBorder="1"/>
    <xf numFmtId="168" fontId="8" fillId="3" borderId="1" xfId="109" applyNumberFormat="1" applyFont="1" applyFill="1" applyBorder="1"/>
    <xf numFmtId="168" fontId="8" fillId="3" borderId="0" xfId="109" applyNumberFormat="1" applyFont="1" applyFill="1" applyBorder="1"/>
    <xf numFmtId="168" fontId="8" fillId="3" borderId="26" xfId="109" applyNumberFormat="1" applyFont="1" applyFill="1" applyBorder="1"/>
    <xf numFmtId="168" fontId="12" fillId="3" borderId="0" xfId="109" applyNumberFormat="1" applyFont="1" applyFill="1"/>
    <xf numFmtId="42" fontId="10" fillId="48" borderId="0" xfId="0" applyNumberFormat="1" applyFont="1" applyFill="1"/>
    <xf numFmtId="41" fontId="10" fillId="48" borderId="0" xfId="0" applyNumberFormat="1" applyFont="1" applyFill="1"/>
    <xf numFmtId="41" fontId="10" fillId="48" borderId="0" xfId="0" applyNumberFormat="1" applyFont="1" applyFill="1" applyBorder="1"/>
    <xf numFmtId="0" fontId="47" fillId="3" borderId="0" xfId="20" quotePrefix="1" applyFont="1" applyFill="1"/>
    <xf numFmtId="168" fontId="52" fillId="3" borderId="11" xfId="109" applyNumberFormat="1" applyFont="1" applyFill="1" applyBorder="1"/>
    <xf numFmtId="0" fontId="84" fillId="0" borderId="0" xfId="0" applyFont="1"/>
    <xf numFmtId="0" fontId="33" fillId="3" borderId="0" xfId="0" applyNumberFormat="1" applyFont="1" applyFill="1" applyBorder="1" applyAlignment="1" applyProtection="1">
      <alignment horizontal="center"/>
    </xf>
    <xf numFmtId="0" fontId="33" fillId="3" borderId="0" xfId="0" applyNumberFormat="1" applyFont="1" applyFill="1" applyAlignment="1" applyProtection="1">
      <alignment horizontal="center"/>
    </xf>
    <xf numFmtId="0" fontId="66" fillId="3" borderId="0" xfId="0" applyNumberFormat="1" applyFont="1" applyFill="1" applyAlignment="1" applyProtection="1">
      <alignment horizontal="center"/>
    </xf>
    <xf numFmtId="0" fontId="33" fillId="3" borderId="0" xfId="0" applyNumberFormat="1" applyFont="1" applyFill="1" applyBorder="1" applyAlignment="1" applyProtection="1"/>
    <xf numFmtId="0" fontId="33" fillId="3" borderId="0" xfId="0" applyNumberFormat="1" applyFont="1" applyFill="1" applyAlignment="1" applyProtection="1"/>
    <xf numFmtId="44" fontId="33" fillId="3" borderId="11" xfId="32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/>
    </xf>
    <xf numFmtId="0" fontId="66" fillId="3" borderId="0" xfId="0" applyFont="1" applyFill="1" applyAlignment="1" applyProtection="1">
      <alignment horizontal="center" vertical="center"/>
    </xf>
    <xf numFmtId="165" fontId="33" fillId="3" borderId="11" xfId="32" applyNumberFormat="1" applyFont="1" applyFill="1" applyBorder="1" applyAlignment="1" applyProtection="1">
      <alignment horizontal="center" vertical="center"/>
    </xf>
    <xf numFmtId="0" fontId="11" fillId="3" borderId="0" xfId="20" applyFont="1" applyFill="1" applyProtection="1"/>
    <xf numFmtId="0" fontId="8" fillId="3" borderId="0" xfId="20" applyFont="1" applyFill="1" applyProtection="1"/>
    <xf numFmtId="0" fontId="8" fillId="3" borderId="0" xfId="20" applyFont="1" applyFill="1" applyBorder="1" applyProtection="1"/>
    <xf numFmtId="41" fontId="8" fillId="3" borderId="0" xfId="20" applyNumberFormat="1" applyFont="1" applyFill="1" applyProtection="1"/>
    <xf numFmtId="41" fontId="8" fillId="3" borderId="0" xfId="20" applyNumberFormat="1" applyFont="1" applyFill="1" applyBorder="1" applyProtection="1"/>
    <xf numFmtId="41" fontId="8" fillId="3" borderId="0" xfId="20" applyNumberFormat="1" applyFont="1" applyFill="1" applyAlignment="1" applyProtection="1">
      <alignment wrapText="1"/>
    </xf>
    <xf numFmtId="0" fontId="6" fillId="3" borderId="0" xfId="20" applyFont="1" applyFill="1" applyAlignment="1" applyProtection="1">
      <alignment horizontal="left"/>
    </xf>
    <xf numFmtId="0" fontId="8" fillId="3" borderId="0" xfId="20" applyFont="1" applyFill="1" applyAlignment="1" applyProtection="1">
      <alignment horizontal="left"/>
    </xf>
    <xf numFmtId="0" fontId="8" fillId="3" borderId="0" xfId="20" applyFont="1" applyFill="1" applyBorder="1" applyAlignment="1" applyProtection="1">
      <alignment horizontal="left"/>
    </xf>
    <xf numFmtId="41" fontId="8" fillId="3" borderId="0" xfId="20" applyNumberFormat="1" applyFont="1" applyFill="1" applyAlignment="1" applyProtection="1">
      <alignment horizontal="right"/>
    </xf>
    <xf numFmtId="0" fontId="9" fillId="3" borderId="0" xfId="20" applyFont="1" applyFill="1" applyProtection="1"/>
    <xf numFmtId="0" fontId="10" fillId="3" borderId="0" xfId="20" applyFont="1" applyFill="1" applyProtection="1"/>
    <xf numFmtId="0" fontId="10" fillId="3" borderId="0" xfId="20" applyFont="1" applyFill="1" applyBorder="1" applyProtection="1"/>
    <xf numFmtId="41" fontId="8" fillId="3" borderId="0" xfId="20" applyNumberFormat="1" applyFont="1" applyFill="1" applyAlignment="1" applyProtection="1">
      <alignment horizontal="center"/>
    </xf>
    <xf numFmtId="41" fontId="8" fillId="3" borderId="0" xfId="20" applyNumberFormat="1" applyFont="1" applyFill="1" applyBorder="1" applyAlignment="1" applyProtection="1">
      <alignment horizontal="center"/>
    </xf>
    <xf numFmtId="41" fontId="10" fillId="3" borderId="0" xfId="20" applyNumberFormat="1" applyFont="1" applyFill="1" applyProtection="1"/>
    <xf numFmtId="0" fontId="34" fillId="3" borderId="0" xfId="0" applyFont="1" applyFill="1" applyAlignment="1" applyProtection="1">
      <alignment horizontal="right"/>
    </xf>
    <xf numFmtId="0" fontId="34" fillId="3" borderId="0" xfId="0" applyFont="1" applyFill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vertical="center"/>
    </xf>
    <xf numFmtId="0" fontId="34" fillId="3" borderId="11" xfId="0" applyFont="1" applyFill="1" applyBorder="1" applyAlignment="1" applyProtection="1">
      <alignment horizontal="center" vertical="center"/>
    </xf>
    <xf numFmtId="0" fontId="33" fillId="44" borderId="0" xfId="0" applyNumberFormat="1" applyFont="1" applyFill="1" applyAlignment="1" applyProtection="1">
      <alignment horizontal="center" vertical="center"/>
    </xf>
    <xf numFmtId="41" fontId="33" fillId="44" borderId="0" xfId="0" applyNumberFormat="1" applyFont="1" applyFill="1" applyBorder="1" applyProtection="1"/>
    <xf numFmtId="41" fontId="33" fillId="3" borderId="0" xfId="0" applyNumberFormat="1" applyFont="1" applyFill="1" applyProtection="1"/>
    <xf numFmtId="41" fontId="33" fillId="44" borderId="11" xfId="0" applyNumberFormat="1" applyFont="1" applyFill="1" applyBorder="1" applyProtection="1"/>
    <xf numFmtId="0" fontId="33" fillId="3" borderId="0" xfId="0" applyNumberFormat="1" applyFont="1" applyFill="1" applyAlignment="1" applyProtection="1">
      <alignment horizontal="center" vertical="center"/>
    </xf>
    <xf numFmtId="41" fontId="33" fillId="3" borderId="0" xfId="0" applyNumberFormat="1" applyFont="1" applyFill="1" applyBorder="1" applyProtection="1"/>
    <xf numFmtId="41" fontId="33" fillId="3" borderId="11" xfId="0" applyNumberFormat="1" applyFont="1" applyFill="1" applyBorder="1" applyProtection="1"/>
    <xf numFmtId="41" fontId="33" fillId="3" borderId="1" xfId="0" applyNumberFormat="1" applyFont="1" applyFill="1" applyBorder="1" applyProtection="1"/>
    <xf numFmtId="0" fontId="34" fillId="3" borderId="0" xfId="0" applyFont="1" applyFill="1" applyAlignment="1" applyProtection="1">
      <alignment horizontal="left" indent="11"/>
    </xf>
    <xf numFmtId="41" fontId="34" fillId="3" borderId="29" xfId="0" applyNumberFormat="1" applyFont="1" applyFill="1" applyBorder="1" applyProtection="1"/>
    <xf numFmtId="41" fontId="34" fillId="3" borderId="0" xfId="0" applyNumberFormat="1" applyFont="1" applyFill="1" applyBorder="1" applyProtection="1"/>
    <xf numFmtId="41" fontId="34" fillId="3" borderId="11" xfId="0" applyNumberFormat="1" applyFont="1" applyFill="1" applyBorder="1" applyProtection="1"/>
    <xf numFmtId="0" fontId="33" fillId="3" borderId="0" xfId="0" applyFont="1" applyFill="1" applyAlignment="1" applyProtection="1">
      <alignment horizontal="left" indent="11"/>
    </xf>
    <xf numFmtId="0" fontId="33" fillId="3" borderId="11" xfId="0" applyFont="1" applyFill="1" applyBorder="1" applyProtection="1"/>
    <xf numFmtId="9" fontId="33" fillId="3" borderId="0" xfId="0" quotePrefix="1" applyNumberFormat="1" applyFont="1" applyFill="1" applyAlignment="1" applyProtection="1">
      <alignment horizontal="left" indent="11"/>
    </xf>
    <xf numFmtId="44" fontId="33" fillId="3" borderId="0" xfId="32" applyFont="1" applyFill="1" applyBorder="1" applyAlignment="1" applyProtection="1">
      <alignment horizontal="right"/>
    </xf>
    <xf numFmtId="10" fontId="33" fillId="3" borderId="11" xfId="32" applyNumberFormat="1" applyFont="1" applyFill="1" applyBorder="1" applyProtection="1"/>
    <xf numFmtId="10" fontId="33" fillId="3" borderId="0" xfId="32" applyNumberFormat="1" applyFont="1" applyFill="1" applyBorder="1" applyProtection="1"/>
    <xf numFmtId="9" fontId="33" fillId="3" borderId="0" xfId="0" applyNumberFormat="1" applyFont="1" applyFill="1" applyProtection="1"/>
    <xf numFmtId="0" fontId="37" fillId="3" borderId="0" xfId="0" applyFont="1" applyFill="1" applyProtection="1"/>
    <xf numFmtId="0" fontId="33" fillId="3" borderId="0" xfId="0" applyFont="1" applyFill="1" applyAlignment="1" applyProtection="1">
      <alignment horizontal="left" indent="1"/>
    </xf>
    <xf numFmtId="10" fontId="33" fillId="3" borderId="11" xfId="33" applyNumberFormat="1" applyFont="1" applyFill="1" applyBorder="1" applyProtection="1"/>
    <xf numFmtId="10" fontId="33" fillId="3" borderId="0" xfId="0" applyNumberFormat="1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44" fontId="8" fillId="3" borderId="0" xfId="32" applyFont="1" applyFill="1" applyAlignment="1" applyProtection="1">
      <alignment wrapText="1"/>
    </xf>
    <xf numFmtId="41" fontId="8" fillId="3" borderId="0" xfId="20" applyNumberFormat="1" applyFont="1" applyFill="1" applyAlignment="1" applyProtection="1">
      <alignment horizontal="center" vertical="center" wrapText="1"/>
    </xf>
    <xf numFmtId="169" fontId="8" fillId="3" borderId="0" xfId="20" applyNumberFormat="1" applyFont="1" applyFill="1" applyAlignment="1" applyProtection="1">
      <alignment horizontal="center" wrapText="1"/>
    </xf>
    <xf numFmtId="41" fontId="8" fillId="3" borderId="0" xfId="20" applyNumberFormat="1" applyFont="1" applyFill="1" applyAlignment="1" applyProtection="1">
      <alignment horizontal="center" wrapText="1"/>
    </xf>
    <xf numFmtId="0" fontId="8" fillId="3" borderId="0" xfId="20" applyNumberFormat="1" applyFont="1" applyFill="1" applyAlignment="1" applyProtection="1">
      <alignment horizontal="center"/>
    </xf>
    <xf numFmtId="41" fontId="70" fillId="3" borderId="0" xfId="20" applyNumberFormat="1" applyFont="1" applyFill="1" applyProtection="1"/>
    <xf numFmtId="41" fontId="70" fillId="3" borderId="0" xfId="20" applyNumberFormat="1" applyFont="1" applyFill="1" applyAlignment="1" applyProtection="1">
      <alignment wrapText="1"/>
    </xf>
    <xf numFmtId="0" fontId="8" fillId="3" borderId="0" xfId="20" applyFont="1" applyFill="1" applyAlignment="1" applyProtection="1">
      <alignment horizontal="center"/>
    </xf>
    <xf numFmtId="44" fontId="8" fillId="3" borderId="0" xfId="32" applyFont="1" applyFill="1" applyProtection="1"/>
    <xf numFmtId="0" fontId="8" fillId="3" borderId="0" xfId="20" applyFont="1" applyFill="1" applyAlignment="1" applyProtection="1">
      <alignment horizontal="center" vertical="center"/>
    </xf>
    <xf numFmtId="169" fontId="8" fillId="3" borderId="0" xfId="20" applyNumberFormat="1" applyFont="1" applyFill="1" applyAlignment="1" applyProtection="1">
      <alignment horizontal="center"/>
    </xf>
    <xf numFmtId="0" fontId="70" fillId="3" borderId="0" xfId="20" applyFont="1" applyFill="1" applyProtection="1"/>
    <xf numFmtId="44" fontId="8" fillId="3" borderId="0" xfId="32" applyFont="1" applyFill="1" applyAlignment="1" applyProtection="1">
      <alignment horizontal="center"/>
    </xf>
    <xf numFmtId="41" fontId="8" fillId="3" borderId="0" xfId="20" applyNumberFormat="1" applyFont="1" applyFill="1" applyAlignment="1" applyProtection="1">
      <alignment horizontal="center" vertical="center"/>
    </xf>
    <xf numFmtId="41" fontId="10" fillId="3" borderId="0" xfId="20" applyNumberFormat="1" applyFont="1" applyFill="1" applyAlignment="1" applyProtection="1">
      <alignment horizontal="center"/>
    </xf>
    <xf numFmtId="41" fontId="70" fillId="3" borderId="0" xfId="20" applyNumberFormat="1" applyFont="1" applyFill="1" applyAlignment="1" applyProtection="1">
      <alignment horizontal="center"/>
    </xf>
    <xf numFmtId="41" fontId="10" fillId="3" borderId="0" xfId="0" applyNumberFormat="1" applyFont="1" applyFill="1" applyAlignment="1" applyProtection="1">
      <alignment horizontal="center"/>
    </xf>
    <xf numFmtId="0" fontId="71" fillId="3" borderId="0" xfId="0" applyFont="1" applyFill="1" applyProtection="1"/>
    <xf numFmtId="0" fontId="70" fillId="45" borderId="11" xfId="0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 wrapText="1"/>
    </xf>
    <xf numFmtId="169" fontId="34" fillId="35" borderId="11" xfId="0" applyNumberFormat="1" applyFont="1" applyFill="1" applyBorder="1" applyAlignment="1" applyProtection="1">
      <alignment vertical="center" wrapText="1"/>
    </xf>
    <xf numFmtId="0" fontId="68" fillId="35" borderId="11" xfId="0" applyFont="1" applyFill="1" applyBorder="1" applyAlignment="1" applyProtection="1">
      <alignment horizontal="center" vertical="center" wrapText="1"/>
    </xf>
    <xf numFmtId="41" fontId="8" fillId="35" borderId="11" xfId="0" applyNumberFormat="1" applyFont="1" applyFill="1" applyBorder="1" applyAlignment="1" applyProtection="1">
      <alignment horizontal="center" vertical="center" wrapText="1"/>
    </xf>
    <xf numFmtId="0" fontId="35" fillId="3" borderId="0" xfId="0" applyFont="1" applyFill="1" applyAlignment="1" applyProtection="1">
      <alignment horizontal="center" vertical="center"/>
    </xf>
    <xf numFmtId="44" fontId="35" fillId="3" borderId="0" xfId="32" applyFont="1" applyFill="1" applyAlignment="1" applyProtection="1">
      <alignment horizontal="center" vertical="center"/>
    </xf>
    <xf numFmtId="169" fontId="35" fillId="3" borderId="0" xfId="0" applyNumberFormat="1" applyFont="1" applyFill="1" applyAlignment="1" applyProtection="1">
      <alignment horizontal="center" vertical="center"/>
    </xf>
    <xf numFmtId="0" fontId="68" fillId="3" borderId="0" xfId="0" applyFont="1" applyFill="1" applyAlignment="1" applyProtection="1">
      <alignment horizontal="center" vertical="center"/>
    </xf>
    <xf numFmtId="41" fontId="35" fillId="3" borderId="0" xfId="0" applyNumberFormat="1" applyFont="1" applyFill="1" applyAlignment="1" applyProtection="1">
      <alignment horizontal="center" vertical="center"/>
    </xf>
    <xf numFmtId="0" fontId="35" fillId="3" borderId="0" xfId="0" applyNumberFormat="1" applyFont="1" applyFill="1" applyAlignment="1" applyProtection="1">
      <alignment horizontal="center" vertical="center"/>
    </xf>
    <xf numFmtId="10" fontId="35" fillId="49" borderId="0" xfId="0" applyNumberFormat="1" applyFont="1" applyFill="1" applyAlignment="1" applyProtection="1">
      <alignment horizontal="center" vertical="center"/>
    </xf>
    <xf numFmtId="10" fontId="35" fillId="3" borderId="0" xfId="0" applyNumberFormat="1" applyFont="1" applyFill="1" applyAlignment="1" applyProtection="1">
      <alignment horizontal="center" vertical="center"/>
    </xf>
    <xf numFmtId="0" fontId="68" fillId="3" borderId="0" xfId="0" applyFont="1" applyFill="1" applyProtection="1"/>
    <xf numFmtId="0" fontId="34" fillId="47" borderId="11" xfId="0" applyFont="1" applyFill="1" applyBorder="1" applyAlignment="1" applyProtection="1">
      <alignment horizontal="center"/>
    </xf>
    <xf numFmtId="44" fontId="34" fillId="47" borderId="11" xfId="32" applyFont="1" applyFill="1" applyBorder="1" applyAlignment="1" applyProtection="1">
      <alignment horizontal="center"/>
    </xf>
    <xf numFmtId="169" fontId="34" fillId="47" borderId="11" xfId="32" applyNumberFormat="1" applyFont="1" applyFill="1" applyBorder="1" applyAlignment="1" applyProtection="1">
      <alignment horizontal="center"/>
    </xf>
    <xf numFmtId="0" fontId="33" fillId="3" borderId="11" xfId="0" applyNumberFormat="1" applyFont="1" applyFill="1" applyBorder="1" applyAlignment="1" applyProtection="1">
      <alignment horizontal="center"/>
    </xf>
    <xf numFmtId="42" fontId="68" fillId="3" borderId="11" xfId="0" applyNumberFormat="1" applyFont="1" applyFill="1" applyBorder="1" applyProtection="1"/>
    <xf numFmtId="41" fontId="10" fillId="3" borderId="11" xfId="0" applyNumberFormat="1" applyFont="1" applyFill="1" applyBorder="1" applyProtection="1"/>
    <xf numFmtId="42" fontId="33" fillId="3" borderId="11" xfId="0" applyNumberFormat="1" applyFont="1" applyFill="1" applyBorder="1" applyProtection="1"/>
    <xf numFmtId="0" fontId="33" fillId="3" borderId="11" xfId="0" applyFont="1" applyFill="1" applyBorder="1" applyAlignment="1" applyProtection="1">
      <alignment horizontal="center"/>
    </xf>
    <xf numFmtId="44" fontId="71" fillId="3" borderId="0" xfId="0" applyNumberFormat="1" applyFont="1" applyFill="1" applyProtection="1"/>
    <xf numFmtId="0" fontId="33" fillId="3" borderId="0" xfId="0" applyFont="1" applyFill="1" applyBorder="1" applyAlignment="1" applyProtection="1">
      <alignment horizontal="center" vertical="center"/>
    </xf>
    <xf numFmtId="169" fontId="33" fillId="3" borderId="0" xfId="0" applyNumberFormat="1" applyFont="1" applyFill="1" applyBorder="1" applyAlignment="1" applyProtection="1">
      <alignment horizontal="center"/>
    </xf>
    <xf numFmtId="42" fontId="68" fillId="3" borderId="0" xfId="0" applyNumberFormat="1" applyFont="1" applyFill="1" applyBorder="1" applyProtection="1"/>
    <xf numFmtId="41" fontId="10" fillId="3" borderId="0" xfId="0" applyNumberFormat="1" applyFont="1" applyFill="1" applyBorder="1" applyAlignment="1" applyProtection="1">
      <alignment horizontal="center"/>
    </xf>
    <xf numFmtId="42" fontId="33" fillId="3" borderId="0" xfId="0" applyNumberFormat="1" applyFont="1" applyFill="1" applyBorder="1" applyProtection="1"/>
    <xf numFmtId="0" fontId="34" fillId="3" borderId="0" xfId="0" applyFont="1" applyFill="1" applyBorder="1" applyAlignment="1" applyProtection="1">
      <alignment horizontal="center"/>
    </xf>
    <xf numFmtId="44" fontId="34" fillId="3" borderId="0" xfId="32" applyFont="1" applyFill="1" applyBorder="1" applyAlignment="1" applyProtection="1">
      <alignment horizontal="center"/>
    </xf>
    <xf numFmtId="0" fontId="34" fillId="3" borderId="4" xfId="0" applyNumberFormat="1" applyFont="1" applyFill="1" applyBorder="1" applyAlignment="1" applyProtection="1">
      <alignment horizontal="center"/>
    </xf>
    <xf numFmtId="42" fontId="34" fillId="3" borderId="7" xfId="32" applyNumberFormat="1" applyFont="1" applyFill="1" applyBorder="1" applyProtection="1"/>
    <xf numFmtId="0" fontId="34" fillId="3" borderId="4" xfId="0" applyFont="1" applyFill="1" applyBorder="1" applyAlignment="1" applyProtection="1">
      <alignment horizontal="center"/>
    </xf>
    <xf numFmtId="42" fontId="71" fillId="3" borderId="0" xfId="0" applyNumberFormat="1" applyFont="1" applyFill="1" applyProtection="1"/>
    <xf numFmtId="1" fontId="33" fillId="3" borderId="0" xfId="0" applyNumberFormat="1" applyFont="1" applyFill="1" applyAlignment="1" applyProtection="1">
      <alignment horizontal="center" vertical="center"/>
    </xf>
    <xf numFmtId="1" fontId="33" fillId="3" borderId="0" xfId="0" applyNumberFormat="1" applyFont="1" applyFill="1" applyBorder="1" applyAlignment="1" applyProtection="1">
      <alignment horizontal="center" vertical="center"/>
    </xf>
    <xf numFmtId="1" fontId="81" fillId="47" borderId="11" xfId="0" applyNumberFormat="1" applyFont="1" applyFill="1" applyBorder="1" applyAlignment="1" applyProtection="1">
      <alignment horizontal="center" vertical="center"/>
    </xf>
    <xf numFmtId="1" fontId="81" fillId="35" borderId="11" xfId="0" applyNumberFormat="1" applyFont="1" applyFill="1" applyBorder="1" applyAlignment="1" applyProtection="1">
      <alignment horizontal="center" vertical="center"/>
    </xf>
    <xf numFmtId="1" fontId="82" fillId="47" borderId="11" xfId="0" applyNumberFormat="1" applyFont="1" applyFill="1" applyBorder="1" applyAlignment="1" applyProtection="1">
      <alignment horizontal="center" vertical="center"/>
    </xf>
    <xf numFmtId="0" fontId="33" fillId="47" borderId="11" xfId="0" applyFont="1" applyFill="1" applyBorder="1" applyProtection="1"/>
    <xf numFmtId="44" fontId="33" fillId="47" borderId="11" xfId="32" applyFont="1" applyFill="1" applyBorder="1" applyProtection="1"/>
    <xf numFmtId="41" fontId="10" fillId="47" borderId="11" xfId="0" applyNumberFormat="1" applyFont="1" applyFill="1" applyBorder="1" applyProtection="1"/>
    <xf numFmtId="0" fontId="34" fillId="3" borderId="0" xfId="0" applyFont="1" applyFill="1" applyBorder="1" applyProtection="1"/>
    <xf numFmtId="44" fontId="34" fillId="3" borderId="0" xfId="32" applyFont="1" applyFill="1" applyBorder="1" applyProtection="1"/>
    <xf numFmtId="169" fontId="34" fillId="3" borderId="0" xfId="0" applyNumberFormat="1" applyFont="1" applyFill="1" applyBorder="1" applyAlignment="1" applyProtection="1">
      <alignment horizontal="center"/>
    </xf>
    <xf numFmtId="42" fontId="34" fillId="3" borderId="0" xfId="0" applyNumberFormat="1" applyFont="1" applyFill="1" applyBorder="1" applyProtection="1"/>
    <xf numFmtId="0" fontId="34" fillId="3" borderId="0" xfId="0" applyNumberFormat="1" applyFont="1" applyFill="1" applyBorder="1" applyAlignment="1" applyProtection="1">
      <alignment horizontal="center"/>
    </xf>
    <xf numFmtId="41" fontId="8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44" fontId="0" fillId="3" borderId="0" xfId="32" applyFont="1" applyFill="1" applyProtection="1"/>
    <xf numFmtId="0" fontId="0" fillId="3" borderId="0" xfId="0" applyFill="1" applyAlignment="1" applyProtection="1">
      <alignment horizontal="center" vertical="center"/>
    </xf>
    <xf numFmtId="169" fontId="0" fillId="3" borderId="0" xfId="0" applyNumberFormat="1" applyFill="1" applyAlignment="1" applyProtection="1">
      <alignment horizontal="center"/>
    </xf>
    <xf numFmtId="41" fontId="12" fillId="3" borderId="0" xfId="0" applyNumberFormat="1" applyFont="1" applyFill="1" applyProtection="1"/>
    <xf numFmtId="0" fontId="0" fillId="3" borderId="0" xfId="0" applyNumberFormat="1" applyFill="1" applyAlignment="1" applyProtection="1">
      <alignment horizontal="center"/>
    </xf>
    <xf numFmtId="0" fontId="33" fillId="35" borderId="0" xfId="0" applyNumberFormat="1" applyFont="1" applyFill="1" applyAlignment="1" applyProtection="1">
      <alignment horizontal="center"/>
    </xf>
    <xf numFmtId="0" fontId="33" fillId="35" borderId="0" xfId="0" applyFont="1" applyFill="1" applyProtection="1"/>
    <xf numFmtId="0" fontId="0" fillId="35" borderId="0" xfId="0" applyFill="1" applyProtection="1"/>
    <xf numFmtId="44" fontId="0" fillId="35" borderId="0" xfId="32" applyFont="1" applyFill="1" applyProtection="1"/>
    <xf numFmtId="0" fontId="0" fillId="35" borderId="0" xfId="0" applyFill="1" applyAlignment="1" applyProtection="1">
      <alignment horizontal="center" vertical="center"/>
    </xf>
    <xf numFmtId="169" fontId="0" fillId="35" borderId="0" xfId="0" applyNumberFormat="1" applyFill="1" applyAlignment="1" applyProtection="1">
      <alignment horizontal="center"/>
    </xf>
    <xf numFmtId="41" fontId="10" fillId="35" borderId="0" xfId="32" applyNumberFormat="1" applyFont="1" applyFill="1" applyBorder="1" applyProtection="1"/>
    <xf numFmtId="165" fontId="33" fillId="35" borderId="0" xfId="32" applyNumberFormat="1" applyFont="1" applyFill="1" applyBorder="1" applyProtection="1"/>
    <xf numFmtId="0" fontId="33" fillId="35" borderId="0" xfId="0" applyNumberFormat="1" applyFont="1" applyFill="1" applyAlignment="1" applyProtection="1"/>
    <xf numFmtId="165" fontId="33" fillId="35" borderId="0" xfId="0" applyNumberFormat="1" applyFont="1" applyFill="1" applyBorder="1" applyProtection="1"/>
    <xf numFmtId="165" fontId="33" fillId="35" borderId="0" xfId="0" applyNumberFormat="1" applyFont="1" applyFill="1" applyBorder="1" applyAlignment="1" applyProtection="1">
      <alignment horizontal="center"/>
    </xf>
    <xf numFmtId="41" fontId="33" fillId="35" borderId="0" xfId="32" applyNumberFormat="1" applyFont="1" applyFill="1" applyBorder="1" applyProtection="1"/>
    <xf numFmtId="41" fontId="33" fillId="35" borderId="0" xfId="0" applyNumberFormat="1" applyFont="1" applyFill="1" applyBorder="1" applyProtection="1"/>
    <xf numFmtId="41" fontId="33" fillId="35" borderId="0" xfId="0" applyNumberFormat="1" applyFont="1" applyFill="1" applyBorder="1" applyAlignment="1" applyProtection="1">
      <alignment horizontal="center"/>
    </xf>
    <xf numFmtId="0" fontId="33" fillId="35" borderId="0" xfId="0" applyFont="1" applyFill="1" applyAlignment="1" applyProtection="1">
      <alignment horizontal="center"/>
    </xf>
    <xf numFmtId="0" fontId="34" fillId="35" borderId="0" xfId="0" applyFont="1" applyFill="1" applyProtection="1"/>
    <xf numFmtId="170" fontId="8" fillId="35" borderId="0" xfId="32" applyNumberFormat="1" applyFont="1" applyFill="1" applyBorder="1" applyProtection="1"/>
    <xf numFmtId="41" fontId="34" fillId="35" borderId="0" xfId="32" applyNumberFormat="1" applyFont="1" applyFill="1" applyBorder="1" applyProtection="1"/>
    <xf numFmtId="41" fontId="0" fillId="3" borderId="0" xfId="0" applyNumberFormat="1" applyFill="1" applyProtection="1"/>
    <xf numFmtId="170" fontId="33" fillId="3" borderId="0" xfId="32" applyNumberFormat="1" applyFont="1" applyFill="1" applyBorder="1" applyProtection="1"/>
    <xf numFmtId="41" fontId="33" fillId="3" borderId="0" xfId="32" applyNumberFormat="1" applyFont="1" applyFill="1" applyBorder="1" applyProtection="1"/>
    <xf numFmtId="41" fontId="33" fillId="3" borderId="0" xfId="0" applyNumberFormat="1" applyFont="1" applyFill="1" applyBorder="1" applyAlignment="1" applyProtection="1">
      <alignment horizontal="center"/>
    </xf>
    <xf numFmtId="170" fontId="8" fillId="3" borderId="0" xfId="32" applyNumberFormat="1" applyFont="1" applyFill="1" applyBorder="1" applyProtection="1"/>
    <xf numFmtId="41" fontId="34" fillId="3" borderId="0" xfId="32" applyNumberFormat="1" applyFont="1" applyFill="1" applyBorder="1" applyProtection="1"/>
    <xf numFmtId="170" fontId="10" fillId="35" borderId="0" xfId="32" applyNumberFormat="1" applyFont="1" applyFill="1" applyBorder="1" applyProtection="1"/>
    <xf numFmtId="165" fontId="33" fillId="3" borderId="0" xfId="32" applyNumberFormat="1" applyFont="1" applyFill="1" applyBorder="1" applyProtection="1"/>
    <xf numFmtId="165" fontId="33" fillId="3" borderId="0" xfId="0" applyNumberFormat="1" applyFont="1" applyFill="1" applyBorder="1" applyProtection="1"/>
    <xf numFmtId="165" fontId="33" fillId="3" borderId="0" xfId="0" applyNumberFormat="1" applyFont="1" applyFill="1" applyBorder="1" applyAlignment="1" applyProtection="1">
      <alignment horizontal="center"/>
    </xf>
    <xf numFmtId="170" fontId="33" fillId="35" borderId="0" xfId="32" applyNumberFormat="1" applyFont="1" applyFill="1" applyBorder="1" applyProtection="1"/>
    <xf numFmtId="170" fontId="12" fillId="3" borderId="0" xfId="0" applyNumberFormat="1" applyFont="1" applyFill="1" applyAlignment="1" applyProtection="1">
      <alignment horizontal="center"/>
    </xf>
    <xf numFmtId="41" fontId="12" fillId="3" borderId="0" xfId="0" applyNumberFormat="1" applyFont="1" applyFill="1" applyAlignment="1" applyProtection="1">
      <alignment horizontal="center"/>
    </xf>
    <xf numFmtId="0" fontId="72" fillId="3" borderId="0" xfId="0" applyFont="1" applyFill="1" applyProtection="1"/>
    <xf numFmtId="0" fontId="33" fillId="0" borderId="11" xfId="0" applyFont="1" applyFill="1" applyBorder="1" applyProtection="1"/>
    <xf numFmtId="41" fontId="33" fillId="50" borderId="11" xfId="0" applyNumberFormat="1" applyFont="1" applyFill="1" applyBorder="1" applyProtection="1">
      <protection locked="0"/>
    </xf>
    <xf numFmtId="0" fontId="33" fillId="50" borderId="11" xfId="0" applyFont="1" applyFill="1" applyBorder="1" applyProtection="1">
      <protection locked="0"/>
    </xf>
    <xf numFmtId="44" fontId="33" fillId="50" borderId="11" xfId="32" applyFont="1" applyFill="1" applyBorder="1" applyProtection="1">
      <protection locked="0"/>
    </xf>
    <xf numFmtId="44" fontId="33" fillId="50" borderId="11" xfId="32" applyFont="1" applyFill="1" applyBorder="1" applyAlignment="1" applyProtection="1">
      <alignment horizontal="center" vertical="center"/>
      <protection locked="0"/>
    </xf>
    <xf numFmtId="0" fontId="33" fillId="50" borderId="11" xfId="0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Protection="1">
      <protection locked="0"/>
    </xf>
    <xf numFmtId="44" fontId="33" fillId="0" borderId="11" xfId="32" applyFont="1" applyFill="1" applyBorder="1" applyProtection="1">
      <protection locked="0"/>
    </xf>
    <xf numFmtId="44" fontId="33" fillId="0" borderId="11" xfId="32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42" fontId="34" fillId="3" borderId="11" xfId="32" applyNumberFormat="1" applyFont="1" applyFill="1" applyBorder="1" applyProtection="1"/>
    <xf numFmtId="0" fontId="34" fillId="3" borderId="11" xfId="0" applyFont="1" applyFill="1" applyBorder="1" applyAlignment="1" applyProtection="1">
      <alignment horizontal="center"/>
    </xf>
    <xf numFmtId="0" fontId="34" fillId="3" borderId="11" xfId="0" applyNumberFormat="1" applyFont="1" applyFill="1" applyBorder="1" applyAlignment="1" applyProtection="1">
      <alignment horizontal="center"/>
    </xf>
    <xf numFmtId="0" fontId="34" fillId="0" borderId="11" xfId="0" applyNumberFormat="1" applyFont="1" applyFill="1" applyBorder="1" applyAlignment="1" applyProtection="1">
      <alignment horizontal="center"/>
    </xf>
    <xf numFmtId="42" fontId="34" fillId="0" borderId="11" xfId="32" applyNumberFormat="1" applyFont="1" applyFill="1" applyBorder="1" applyProtection="1"/>
    <xf numFmtId="0" fontId="34" fillId="0" borderId="11" xfId="0" applyFont="1" applyFill="1" applyBorder="1" applyAlignment="1" applyProtection="1">
      <alignment horizontal="center"/>
    </xf>
    <xf numFmtId="44" fontId="8" fillId="3" borderId="0" xfId="32" applyFont="1" applyFill="1"/>
    <xf numFmtId="44" fontId="8" fillId="3" borderId="0" xfId="32" applyFont="1" applyFill="1" applyAlignment="1">
      <alignment horizontal="center"/>
    </xf>
    <xf numFmtId="44" fontId="33" fillId="3" borderId="0" xfId="32" applyFont="1" applyFill="1"/>
    <xf numFmtId="44" fontId="34" fillId="35" borderId="11" xfId="32" applyFont="1" applyFill="1" applyBorder="1" applyAlignment="1">
      <alignment horizontal="center" vertical="center"/>
    </xf>
    <xf numFmtId="44" fontId="33" fillId="3" borderId="11" xfId="32" applyFont="1" applyFill="1" applyBorder="1"/>
    <xf numFmtId="44" fontId="33" fillId="3" borderId="0" xfId="32" applyFont="1" applyFill="1" applyBorder="1"/>
    <xf numFmtId="44" fontId="34" fillId="3" borderId="13" xfId="32" applyFont="1" applyFill="1" applyBorder="1"/>
    <xf numFmtId="44" fontId="0" fillId="3" borderId="0" xfId="32" applyFont="1" applyFill="1"/>
    <xf numFmtId="0" fontId="8" fillId="3" borderId="0" xfId="32" applyNumberFormat="1" applyFont="1" applyFill="1"/>
    <xf numFmtId="0" fontId="8" fillId="3" borderId="0" xfId="32" applyNumberFormat="1" applyFont="1" applyFill="1" applyAlignment="1">
      <alignment horizontal="center"/>
    </xf>
    <xf numFmtId="0" fontId="33" fillId="3" borderId="0" xfId="32" applyNumberFormat="1" applyFont="1" applyFill="1"/>
    <xf numFmtId="0" fontId="34" fillId="35" borderId="11" xfId="32" applyNumberFormat="1" applyFont="1" applyFill="1" applyBorder="1" applyAlignment="1">
      <alignment horizontal="center" vertical="center"/>
    </xf>
    <xf numFmtId="0" fontId="33" fillId="3" borderId="0" xfId="32" applyNumberFormat="1" applyFont="1" applyFill="1" applyBorder="1"/>
    <xf numFmtId="0" fontId="0" fillId="3" borderId="0" xfId="32" applyNumberFormat="1" applyFont="1" applyFill="1"/>
    <xf numFmtId="49" fontId="33" fillId="50" borderId="11" xfId="0" quotePrefix="1" applyNumberFormat="1" applyFont="1" applyFill="1" applyBorder="1" applyAlignment="1" applyProtection="1">
      <alignment horizontal="center"/>
      <protection locked="0"/>
    </xf>
    <xf numFmtId="49" fontId="33" fillId="50" borderId="11" xfId="0" applyNumberFormat="1" applyFont="1" applyFill="1" applyBorder="1" applyProtection="1">
      <protection locked="0"/>
    </xf>
    <xf numFmtId="168" fontId="33" fillId="50" borderId="11" xfId="109" applyNumberFormat="1" applyFont="1" applyFill="1" applyBorder="1" applyProtection="1">
      <protection locked="0"/>
    </xf>
    <xf numFmtId="49" fontId="33" fillId="44" borderId="11" xfId="0" quotePrefix="1" applyNumberFormat="1" applyFont="1" applyFill="1" applyBorder="1" applyAlignment="1">
      <alignment horizontal="center"/>
    </xf>
    <xf numFmtId="49" fontId="33" fillId="44" borderId="11" xfId="0" applyNumberFormat="1" applyFont="1" applyFill="1" applyBorder="1"/>
    <xf numFmtId="168" fontId="33" fillId="44" borderId="11" xfId="109" applyNumberFormat="1" applyFont="1" applyFill="1" applyBorder="1"/>
    <xf numFmtId="49" fontId="33" fillId="44" borderId="11" xfId="0" quotePrefix="1" applyNumberFormat="1" applyFont="1" applyFill="1" applyBorder="1" applyAlignment="1" applyProtection="1">
      <alignment horizontal="center"/>
      <protection locked="0"/>
    </xf>
    <xf numFmtId="49" fontId="33" fillId="44" borderId="11" xfId="0" applyNumberFormat="1" applyFont="1" applyFill="1" applyBorder="1" applyProtection="1">
      <protection locked="0"/>
    </xf>
    <xf numFmtId="49" fontId="33" fillId="50" borderId="11" xfId="0" quotePrefix="1" applyNumberFormat="1" applyFont="1" applyFill="1" applyBorder="1" applyAlignment="1">
      <alignment horizontal="center"/>
    </xf>
    <xf numFmtId="49" fontId="33" fillId="50" borderId="11" xfId="0" applyNumberFormat="1" applyFont="1" applyFill="1" applyBorder="1"/>
    <xf numFmtId="49" fontId="33" fillId="51" borderId="11" xfId="0" quotePrefix="1" applyNumberFormat="1" applyFont="1" applyFill="1" applyBorder="1" applyAlignment="1">
      <alignment horizontal="center"/>
    </xf>
    <xf numFmtId="49" fontId="33" fillId="51" borderId="11" xfId="0" applyNumberFormat="1" applyFont="1" applyFill="1" applyBorder="1"/>
    <xf numFmtId="168" fontId="33" fillId="44" borderId="11" xfId="109" applyNumberFormat="1" applyFont="1" applyFill="1" applyBorder="1" applyProtection="1"/>
    <xf numFmtId="168" fontId="33" fillId="51" borderId="11" xfId="109" applyNumberFormat="1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0" fontId="8" fillId="3" borderId="0" xfId="20" applyNumberFormat="1" applyFont="1" applyFill="1" applyAlignment="1" applyProtection="1">
      <alignment wrapText="1"/>
    </xf>
    <xf numFmtId="170" fontId="8" fillId="3" borderId="0" xfId="20" applyNumberFormat="1" applyFont="1" applyFill="1" applyProtection="1"/>
    <xf numFmtId="170" fontId="33" fillId="3" borderId="0" xfId="0" applyNumberFormat="1" applyFont="1" applyFill="1" applyProtection="1"/>
    <xf numFmtId="170" fontId="30" fillId="40" borderId="11" xfId="0" applyNumberFormat="1" applyFont="1" applyFill="1" applyBorder="1" applyAlignment="1" applyProtection="1">
      <alignment horizontal="center" vertical="center" wrapText="1"/>
    </xf>
    <xf numFmtId="170" fontId="35" fillId="3" borderId="0" xfId="0" applyNumberFormat="1" applyFont="1" applyFill="1" applyAlignment="1" applyProtection="1">
      <alignment horizontal="center" vertical="center"/>
    </xf>
    <xf numFmtId="170" fontId="33" fillId="35" borderId="11" xfId="0" applyNumberFormat="1" applyFont="1" applyFill="1" applyBorder="1" applyProtection="1"/>
    <xf numFmtId="170" fontId="33" fillId="50" borderId="11" xfId="0" applyNumberFormat="1" applyFont="1" applyFill="1" applyBorder="1" applyProtection="1">
      <protection locked="0"/>
    </xf>
    <xf numFmtId="170" fontId="33" fillId="0" borderId="11" xfId="0" applyNumberFormat="1" applyFont="1" applyFill="1" applyBorder="1" applyProtection="1">
      <protection locked="0"/>
    </xf>
    <xf numFmtId="170" fontId="33" fillId="3" borderId="0" xfId="0" applyNumberFormat="1" applyFont="1" applyFill="1" applyBorder="1" applyProtection="1"/>
    <xf numFmtId="170" fontId="34" fillId="3" borderId="0" xfId="0" applyNumberFormat="1" applyFont="1" applyFill="1" applyBorder="1" applyProtection="1"/>
    <xf numFmtId="170" fontId="34" fillId="3" borderId="0" xfId="0" applyNumberFormat="1" applyFont="1" applyFill="1" applyBorder="1" applyAlignment="1" applyProtection="1">
      <alignment horizontal="center"/>
    </xf>
    <xf numFmtId="170" fontId="34" fillId="3" borderId="0" xfId="0" applyNumberFormat="1" applyFont="1" applyFill="1" applyProtection="1"/>
    <xf numFmtId="170" fontId="33" fillId="3" borderId="0" xfId="33" applyNumberFormat="1" applyFont="1" applyFill="1" applyBorder="1" applyProtection="1"/>
    <xf numFmtId="170" fontId="66" fillId="3" borderId="0" xfId="0" applyNumberFormat="1" applyFont="1" applyFill="1" applyAlignment="1" applyProtection="1">
      <alignment horizontal="right"/>
    </xf>
    <xf numFmtId="170" fontId="0" fillId="3" borderId="0" xfId="0" applyNumberFormat="1" applyFill="1" applyProtection="1"/>
    <xf numFmtId="49" fontId="33" fillId="0" borderId="11" xfId="0" quotePrefix="1" applyNumberFormat="1" applyFont="1" applyBorder="1" applyAlignment="1" applyProtection="1">
      <alignment horizontal="center"/>
      <protection locked="0"/>
    </xf>
    <xf numFmtId="49" fontId="33" fillId="0" borderId="11" xfId="0" applyNumberFormat="1" applyFont="1" applyBorder="1" applyProtection="1">
      <protection locked="0"/>
    </xf>
    <xf numFmtId="168" fontId="33" fillId="0" borderId="11" xfId="109" applyNumberFormat="1" applyFont="1" applyFill="1" applyBorder="1" applyProtection="1">
      <protection locked="0"/>
    </xf>
    <xf numFmtId="49" fontId="85" fillId="44" borderId="11" xfId="0" quotePrefix="1" applyNumberFormat="1" applyFont="1" applyFill="1" applyBorder="1" applyAlignment="1">
      <alignment horizontal="center"/>
    </xf>
    <xf numFmtId="49" fontId="33" fillId="0" borderId="11" xfId="0" quotePrefix="1" applyNumberFormat="1" applyFont="1" applyBorder="1" applyAlignment="1">
      <alignment horizontal="center"/>
    </xf>
    <xf numFmtId="49" fontId="33" fillId="0" borderId="11" xfId="0" applyNumberFormat="1" applyFont="1" applyBorder="1"/>
    <xf numFmtId="43" fontId="9" fillId="43" borderId="31" xfId="20" applyNumberFormat="1" applyFont="1" applyFill="1" applyBorder="1" applyAlignment="1">
      <alignment horizontal="right"/>
    </xf>
    <xf numFmtId="9" fontId="9" fillId="43" borderId="31" xfId="33" applyFont="1" applyFill="1" applyBorder="1" applyAlignment="1">
      <alignment horizontal="right"/>
    </xf>
    <xf numFmtId="164" fontId="30" fillId="52" borderId="11" xfId="20" applyNumberFormat="1" applyFont="1" applyFill="1" applyBorder="1" applyAlignment="1">
      <alignment horizontal="center" vertical="center" wrapText="1"/>
    </xf>
    <xf numFmtId="9" fontId="9" fillId="43" borderId="31" xfId="33" applyNumberFormat="1" applyFont="1" applyFill="1" applyBorder="1" applyAlignment="1">
      <alignment horizontal="right"/>
    </xf>
    <xf numFmtId="168" fontId="9" fillId="43" borderId="32" xfId="20" applyNumberFormat="1" applyFont="1" applyFill="1" applyBorder="1" applyAlignment="1">
      <alignment horizontal="right"/>
    </xf>
    <xf numFmtId="9" fontId="9" fillId="43" borderId="28" xfId="33" applyNumberFormat="1" applyFont="1" applyFill="1" applyBorder="1" applyAlignment="1">
      <alignment horizontal="right"/>
    </xf>
    <xf numFmtId="43" fontId="9" fillId="43" borderId="28" xfId="20" applyNumberFormat="1" applyFont="1" applyFill="1" applyBorder="1" applyAlignment="1">
      <alignment horizontal="right"/>
    </xf>
    <xf numFmtId="0" fontId="47" fillId="43" borderId="33" xfId="20" applyFont="1" applyFill="1" applyBorder="1"/>
    <xf numFmtId="41" fontId="48" fillId="43" borderId="27" xfId="20" applyNumberFormat="1" applyFont="1" applyFill="1" applyBorder="1" applyAlignment="1">
      <alignment horizontal="right"/>
    </xf>
    <xf numFmtId="44" fontId="33" fillId="3" borderId="0" xfId="0" applyNumberFormat="1" applyFont="1" applyFill="1"/>
    <xf numFmtId="165" fontId="10" fillId="44" borderId="11" xfId="32" applyNumberFormat="1" applyFont="1" applyFill="1" applyBorder="1" applyProtection="1"/>
    <xf numFmtId="165" fontId="33" fillId="50" borderId="11" xfId="32" applyNumberFormat="1" applyFont="1" applyFill="1" applyBorder="1" applyProtection="1">
      <protection locked="0"/>
    </xf>
    <xf numFmtId="165" fontId="33" fillId="44" borderId="11" xfId="32" applyNumberFormat="1" applyFont="1" applyFill="1" applyBorder="1" applyProtection="1"/>
    <xf numFmtId="165" fontId="33" fillId="0" borderId="11" xfId="32" applyNumberFormat="1" applyFont="1" applyFill="1" applyBorder="1" applyProtection="1">
      <protection locked="0"/>
    </xf>
    <xf numFmtId="165" fontId="33" fillId="51" borderId="11" xfId="32" applyNumberFormat="1" applyFont="1" applyFill="1" applyBorder="1" applyProtection="1"/>
    <xf numFmtId="165" fontId="33" fillId="44" borderId="11" xfId="32" applyNumberFormat="1" applyFont="1" applyFill="1" applyBorder="1"/>
    <xf numFmtId="165" fontId="34" fillId="3" borderId="13" xfId="32" applyNumberFormat="1" applyFont="1" applyFill="1" applyBorder="1"/>
    <xf numFmtId="165" fontId="33" fillId="3" borderId="11" xfId="32" applyNumberFormat="1" applyFont="1" applyFill="1" applyBorder="1"/>
    <xf numFmtId="165" fontId="33" fillId="3" borderId="0" xfId="32" applyNumberFormat="1" applyFont="1" applyFill="1" applyBorder="1"/>
    <xf numFmtId="165" fontId="8" fillId="3" borderId="0" xfId="32" applyNumberFormat="1" applyFont="1" applyFill="1"/>
    <xf numFmtId="44" fontId="8" fillId="3" borderId="0" xfId="32" applyNumberFormat="1" applyFont="1" applyFill="1"/>
    <xf numFmtId="0" fontId="33" fillId="3" borderId="0" xfId="32" applyNumberFormat="1" applyFont="1" applyFill="1" applyAlignment="1">
      <alignment horizontal="center"/>
    </xf>
    <xf numFmtId="165" fontId="34" fillId="3" borderId="39" xfId="32" applyNumberFormat="1" applyFont="1" applyFill="1" applyBorder="1"/>
    <xf numFmtId="44" fontId="8" fillId="3" borderId="0" xfId="32" applyNumberFormat="1" applyFont="1" applyFill="1" applyAlignment="1">
      <alignment horizontal="center"/>
    </xf>
    <xf numFmtId="165" fontId="10" fillId="44" borderId="11" xfId="32" applyNumberFormat="1" applyFont="1" applyFill="1" applyBorder="1" applyAlignment="1" applyProtection="1">
      <alignment horizontal="center"/>
    </xf>
    <xf numFmtId="165" fontId="33" fillId="50" borderId="11" xfId="32" applyNumberFormat="1" applyFont="1" applyFill="1" applyBorder="1" applyAlignment="1" applyProtection="1">
      <alignment horizontal="center"/>
      <protection locked="0"/>
    </xf>
    <xf numFmtId="0" fontId="33" fillId="3" borderId="0" xfId="32" applyNumberFormat="1" applyFont="1" applyFill="1" applyBorder="1" applyAlignment="1">
      <alignment horizontal="center"/>
    </xf>
    <xf numFmtId="165" fontId="34" fillId="3" borderId="0" xfId="32" applyNumberFormat="1" applyFont="1" applyFill="1" applyBorder="1" applyAlignment="1">
      <alignment horizontal="center"/>
    </xf>
    <xf numFmtId="165" fontId="34" fillId="3" borderId="13" xfId="32" applyNumberFormat="1" applyFont="1" applyFill="1" applyBorder="1" applyAlignment="1">
      <alignment horizontal="center"/>
    </xf>
    <xf numFmtId="165" fontId="33" fillId="44" borderId="11" xfId="32" applyNumberFormat="1" applyFont="1" applyFill="1" applyBorder="1" applyAlignment="1" applyProtection="1">
      <alignment horizontal="center"/>
    </xf>
    <xf numFmtId="165" fontId="33" fillId="0" borderId="11" xfId="32" applyNumberFormat="1" applyFont="1" applyFill="1" applyBorder="1" applyAlignment="1" applyProtection="1">
      <alignment horizontal="center"/>
      <protection locked="0"/>
    </xf>
    <xf numFmtId="0" fontId="0" fillId="3" borderId="0" xfId="32" applyNumberFormat="1" applyFont="1" applyFill="1" applyAlignment="1">
      <alignment horizontal="center"/>
    </xf>
    <xf numFmtId="165" fontId="33" fillId="3" borderId="13" xfId="32" applyNumberFormat="1" applyFont="1" applyFill="1" applyBorder="1" applyAlignment="1">
      <alignment horizontal="center"/>
    </xf>
    <xf numFmtId="165" fontId="33" fillId="3" borderId="39" xfId="32" applyNumberFormat="1" applyFont="1" applyFill="1" applyBorder="1"/>
    <xf numFmtId="49" fontId="33" fillId="0" borderId="11" xfId="0" quotePrefix="1" applyNumberFormat="1" applyFont="1" applyFill="1" applyBorder="1" applyAlignment="1" applyProtection="1">
      <alignment horizontal="center"/>
      <protection locked="0"/>
    </xf>
    <xf numFmtId="49" fontId="33" fillId="0" borderId="11" xfId="0" applyNumberFormat="1" applyFont="1" applyFill="1" applyBorder="1" applyProtection="1">
      <protection locked="0"/>
    </xf>
    <xf numFmtId="165" fontId="33" fillId="0" borderId="11" xfId="32" applyNumberFormat="1" applyFont="1" applyFill="1" applyBorder="1"/>
    <xf numFmtId="0" fontId="33" fillId="0" borderId="0" xfId="0" applyFont="1" applyFill="1"/>
    <xf numFmtId="6" fontId="47" fillId="3" borderId="0" xfId="20" applyNumberFormat="1" applyFont="1" applyFill="1"/>
    <xf numFmtId="16" fontId="47" fillId="3" borderId="0" xfId="20" applyNumberFormat="1" applyFont="1" applyFill="1"/>
    <xf numFmtId="44" fontId="33" fillId="50" borderId="11" xfId="32" applyFont="1" applyFill="1" applyBorder="1" applyProtection="1"/>
    <xf numFmtId="41" fontId="47" fillId="53" borderId="5" xfId="20" applyNumberFormat="1" applyFont="1" applyFill="1" applyBorder="1" applyAlignment="1">
      <alignment vertical="center"/>
    </xf>
    <xf numFmtId="41" fontId="62" fillId="53" borderId="0" xfId="0" applyNumberFormat="1" applyFont="1" applyFill="1"/>
    <xf numFmtId="169" fontId="33" fillId="0" borderId="11" xfId="0" applyNumberFormat="1" applyFont="1" applyFill="1" applyBorder="1" applyAlignment="1" applyProtection="1">
      <alignment horizontal="center"/>
      <protection locked="0"/>
    </xf>
    <xf numFmtId="165" fontId="34" fillId="0" borderId="39" xfId="32" applyNumberFormat="1" applyFont="1" applyFill="1" applyBorder="1"/>
    <xf numFmtId="44" fontId="33" fillId="3" borderId="0" xfId="0" applyNumberFormat="1" applyFont="1" applyFill="1" applyAlignment="1" applyProtection="1">
      <alignment horizontal="center" vertical="center"/>
    </xf>
    <xf numFmtId="41" fontId="8" fillId="35" borderId="0" xfId="32" applyNumberFormat="1" applyFont="1" applyFill="1" applyBorder="1" applyProtection="1"/>
    <xf numFmtId="168" fontId="33" fillId="3" borderId="0" xfId="32" applyNumberFormat="1" applyFont="1" applyFill="1" applyBorder="1" applyProtection="1"/>
    <xf numFmtId="41" fontId="8" fillId="3" borderId="0" xfId="32" applyNumberFormat="1" applyFont="1" applyFill="1" applyBorder="1" applyProtection="1"/>
    <xf numFmtId="168" fontId="33" fillId="35" borderId="0" xfId="32" applyNumberFormat="1" applyFont="1" applyFill="1" applyBorder="1" applyProtection="1"/>
    <xf numFmtId="0" fontId="30" fillId="40" borderId="14" xfId="32" applyNumberFormat="1" applyFont="1" applyFill="1" applyBorder="1" applyAlignment="1">
      <alignment horizontal="center"/>
    </xf>
    <xf numFmtId="169" fontId="34" fillId="0" borderId="39" xfId="0" applyNumberFormat="1" applyFont="1" applyFill="1" applyBorder="1" applyAlignment="1" applyProtection="1">
      <alignment horizontal="center"/>
    </xf>
    <xf numFmtId="42" fontId="68" fillId="3" borderId="15" xfId="32" applyNumberFormat="1" applyFont="1" applyFill="1" applyBorder="1" applyProtection="1"/>
    <xf numFmtId="41" fontId="34" fillId="3" borderId="39" xfId="32" applyNumberFormat="1" applyFont="1" applyFill="1" applyBorder="1" applyProtection="1"/>
    <xf numFmtId="44" fontId="33" fillId="3" borderId="0" xfId="0" applyNumberFormat="1" applyFont="1" applyFill="1" applyProtection="1"/>
    <xf numFmtId="43" fontId="33" fillId="3" borderId="0" xfId="0" applyNumberFormat="1" applyFont="1" applyFill="1" applyProtection="1"/>
    <xf numFmtId="0" fontId="69" fillId="36" borderId="2" xfId="20" applyFont="1" applyFill="1" applyBorder="1" applyAlignment="1">
      <alignment horizontal="center" wrapText="1"/>
    </xf>
    <xf numFmtId="0" fontId="69" fillId="36" borderId="32" xfId="20" applyFont="1" applyFill="1" applyBorder="1" applyAlignment="1">
      <alignment horizontal="center" wrapText="1"/>
    </xf>
    <xf numFmtId="0" fontId="34" fillId="50" borderId="38" xfId="0" applyFont="1" applyFill="1" applyBorder="1" applyAlignment="1" applyProtection="1">
      <alignment horizontal="center" vertical="center"/>
    </xf>
    <xf numFmtId="0" fontId="33" fillId="35" borderId="11" xfId="0" applyNumberFormat="1" applyFont="1" applyFill="1" applyBorder="1" applyAlignment="1" applyProtection="1">
      <alignment horizontal="center"/>
    </xf>
    <xf numFmtId="42" fontId="34" fillId="35" borderId="11" xfId="0" applyNumberFormat="1" applyFont="1" applyFill="1" applyBorder="1" applyAlignment="1" applyProtection="1">
      <alignment horizontal="center"/>
    </xf>
    <xf numFmtId="0" fontId="33" fillId="35" borderId="11" xfId="0" applyFont="1" applyFill="1" applyBorder="1" applyAlignment="1" applyProtection="1">
      <alignment horizontal="center"/>
    </xf>
    <xf numFmtId="41" fontId="8" fillId="39" borderId="0" xfId="20" applyNumberFormat="1" applyFont="1" applyFill="1" applyBorder="1" applyAlignment="1">
      <alignment horizontal="center" vertical="center" wrapText="1"/>
    </xf>
    <xf numFmtId="41" fontId="8" fillId="39" borderId="26" xfId="0" applyNumberFormat="1" applyFont="1" applyFill="1" applyBorder="1"/>
    <xf numFmtId="168" fontId="9" fillId="43" borderId="31" xfId="20" applyNumberFormat="1" applyFont="1" applyFill="1" applyBorder="1" applyAlignment="1">
      <alignment horizontal="right"/>
    </xf>
    <xf numFmtId="0" fontId="69" fillId="36" borderId="33" xfId="20" applyFont="1" applyFill="1" applyBorder="1" applyAlignment="1">
      <alignment horizontal="center" wrapText="1"/>
    </xf>
    <xf numFmtId="41" fontId="10" fillId="53" borderId="0" xfId="0" applyNumberFormat="1" applyFont="1" applyFill="1"/>
    <xf numFmtId="41" fontId="33" fillId="35" borderId="11" xfId="0" applyNumberFormat="1" applyFont="1" applyFill="1" applyBorder="1" applyAlignment="1" applyProtection="1">
      <alignment horizontal="center"/>
    </xf>
    <xf numFmtId="41" fontId="33" fillId="35" borderId="11" xfId="0" applyNumberFormat="1" applyFont="1" applyFill="1" applyBorder="1" applyProtection="1"/>
    <xf numFmtId="41" fontId="33" fillId="50" borderId="11" xfId="0" applyNumberFormat="1" applyFont="1" applyFill="1" applyBorder="1" applyProtection="1"/>
    <xf numFmtId="44" fontId="33" fillId="3" borderId="0" xfId="32" applyFont="1" applyFill="1" applyBorder="1" applyAlignment="1" applyProtection="1">
      <alignment horizontal="center" vertical="center"/>
    </xf>
    <xf numFmtId="165" fontId="33" fillId="3" borderId="0" xfId="32" applyNumberFormat="1" applyFont="1" applyFill="1" applyBorder="1" applyAlignment="1" applyProtection="1">
      <alignment horizontal="center" vertical="center"/>
    </xf>
    <xf numFmtId="1" fontId="67" fillId="35" borderId="11" xfId="0" applyNumberFormat="1" applyFont="1" applyFill="1" applyBorder="1" applyAlignment="1">
      <alignment horizontal="center" vertical="center"/>
    </xf>
    <xf numFmtId="42" fontId="68" fillId="35" borderId="11" xfId="0" applyNumberFormat="1" applyFont="1" applyFill="1" applyBorder="1"/>
    <xf numFmtId="166" fontId="33" fillId="44" borderId="11" xfId="33" applyNumberFormat="1" applyFont="1" applyFill="1" applyBorder="1"/>
    <xf numFmtId="165" fontId="8" fillId="3" borderId="0" xfId="32" applyNumberFormat="1" applyFont="1" applyFill="1" applyAlignment="1">
      <alignment horizontal="center"/>
    </xf>
    <xf numFmtId="165" fontId="34" fillId="35" borderId="11" xfId="32" applyNumberFormat="1" applyFont="1" applyFill="1" applyBorder="1" applyAlignment="1">
      <alignment horizontal="center" vertical="center"/>
    </xf>
    <xf numFmtId="165" fontId="33" fillId="3" borderId="0" xfId="32" applyNumberFormat="1" applyFont="1" applyFill="1"/>
    <xf numFmtId="165" fontId="30" fillId="40" borderId="12" xfId="32" applyNumberFormat="1" applyFont="1" applyFill="1" applyBorder="1" applyAlignment="1">
      <alignment horizontal="center"/>
    </xf>
    <xf numFmtId="165" fontId="0" fillId="3" borderId="0" xfId="32" applyNumberFormat="1" applyFont="1" applyFill="1"/>
    <xf numFmtId="43" fontId="33" fillId="44" borderId="11" xfId="109" applyNumberFormat="1" applyFont="1" applyFill="1" applyBorder="1"/>
    <xf numFmtId="165" fontId="87" fillId="44" borderId="11" xfId="32" applyNumberFormat="1" applyFont="1" applyFill="1" applyBorder="1" applyProtection="1"/>
    <xf numFmtId="0" fontId="0" fillId="0" borderId="0" xfId="0" pivotButton="1"/>
    <xf numFmtId="0" fontId="76" fillId="0" borderId="35" xfId="0" applyFont="1" applyBorder="1"/>
    <xf numFmtId="0" fontId="77" fillId="0" borderId="11" xfId="0" applyFont="1" applyBorder="1" applyAlignment="1">
      <alignment horizontal="center"/>
    </xf>
    <xf numFmtId="0" fontId="77" fillId="0" borderId="38" xfId="0" applyFont="1" applyBorder="1" applyAlignment="1">
      <alignment wrapText="1"/>
    </xf>
    <xf numFmtId="0" fontId="3" fillId="46" borderId="11" xfId="0" applyFont="1" applyFill="1" applyBorder="1"/>
    <xf numFmtId="0" fontId="3" fillId="0" borderId="11" xfId="0" applyFont="1" applyBorder="1"/>
    <xf numFmtId="0" fontId="80" fillId="0" borderId="11" xfId="0" applyFont="1" applyBorder="1"/>
    <xf numFmtId="0" fontId="0" fillId="0" borderId="0" xfId="0" applyNumberFormat="1"/>
    <xf numFmtId="44" fontId="0" fillId="0" borderId="0" xfId="32" applyFont="1"/>
    <xf numFmtId="44" fontId="0" fillId="50" borderId="0" xfId="32" applyFont="1" applyFill="1"/>
    <xf numFmtId="0" fontId="51" fillId="42" borderId="32" xfId="20" applyFont="1" applyFill="1" applyBorder="1" applyAlignment="1">
      <alignment horizontal="center" vertical="center"/>
    </xf>
    <xf numFmtId="0" fontId="51" fillId="42" borderId="33" xfId="20" applyFont="1" applyFill="1" applyBorder="1" applyAlignment="1">
      <alignment horizontal="center" vertical="center"/>
    </xf>
    <xf numFmtId="0" fontId="52" fillId="42" borderId="11" xfId="20" applyFont="1" applyFill="1" applyBorder="1" applyAlignment="1">
      <alignment horizontal="center"/>
    </xf>
    <xf numFmtId="0" fontId="51" fillId="3" borderId="0" xfId="20" applyFont="1" applyFill="1" applyAlignment="1">
      <alignment horizontal="center" vertical="top"/>
    </xf>
    <xf numFmtId="0" fontId="33" fillId="50" borderId="4" xfId="0" applyFont="1" applyFill="1" applyBorder="1" applyAlignment="1" applyProtection="1">
      <alignment horizontal="center"/>
      <protection locked="0"/>
    </xf>
    <xf numFmtId="0" fontId="33" fillId="50" borderId="5" xfId="0" applyFont="1" applyFill="1" applyBorder="1" applyAlignment="1" applyProtection="1">
      <alignment horizontal="center"/>
      <protection locked="0"/>
    </xf>
    <xf numFmtId="0" fontId="33" fillId="50" borderId="7" xfId="0" applyFont="1" applyFill="1" applyBorder="1" applyAlignment="1" applyProtection="1">
      <alignment horizontal="center"/>
      <protection locked="0"/>
    </xf>
    <xf numFmtId="0" fontId="34" fillId="35" borderId="14" xfId="0" applyFont="1" applyFill="1" applyBorder="1" applyAlignment="1" applyProtection="1">
      <alignment horizontal="center"/>
    </xf>
    <xf numFmtId="0" fontId="34" fillId="35" borderId="15" xfId="0" applyFont="1" applyFill="1" applyBorder="1" applyAlignment="1" applyProtection="1">
      <alignment horizontal="center"/>
    </xf>
    <xf numFmtId="0" fontId="34" fillId="35" borderId="16" xfId="0" applyFont="1" applyFill="1" applyBorder="1" applyAlignment="1" applyProtection="1">
      <alignment horizontal="center"/>
    </xf>
    <xf numFmtId="0" fontId="34" fillId="35" borderId="4" xfId="0" applyFont="1" applyFill="1" applyBorder="1" applyAlignment="1" applyProtection="1">
      <alignment horizontal="center"/>
    </xf>
    <xf numFmtId="0" fontId="34" fillId="35" borderId="5" xfId="0" applyFont="1" applyFill="1" applyBorder="1" applyAlignment="1" applyProtection="1">
      <alignment horizontal="center"/>
    </xf>
    <xf numFmtId="0" fontId="34" fillId="35" borderId="7" xfId="0" applyFont="1" applyFill="1" applyBorder="1" applyAlignment="1" applyProtection="1">
      <alignment horizontal="center"/>
    </xf>
    <xf numFmtId="0" fontId="34" fillId="35" borderId="11" xfId="0" applyFont="1" applyFill="1" applyBorder="1" applyAlignment="1" applyProtection="1">
      <alignment horizontal="center" vertical="center" wrapText="1"/>
    </xf>
    <xf numFmtId="0" fontId="34" fillId="35" borderId="4" xfId="0" applyFont="1" applyFill="1" applyBorder="1" applyAlignment="1" applyProtection="1">
      <alignment horizontal="center" vertical="center"/>
    </xf>
    <xf numFmtId="0" fontId="34" fillId="35" borderId="5" xfId="0" applyFont="1" applyFill="1" applyBorder="1" applyAlignment="1" applyProtection="1">
      <alignment horizontal="center" vertical="center"/>
    </xf>
    <xf numFmtId="0" fontId="34" fillId="35" borderId="7" xfId="0" applyFont="1" applyFill="1" applyBorder="1" applyAlignment="1" applyProtection="1">
      <alignment horizontal="center" vertical="center"/>
    </xf>
    <xf numFmtId="0" fontId="34" fillId="35" borderId="11" xfId="0" applyFont="1" applyFill="1" applyBorder="1" applyAlignment="1" applyProtection="1">
      <alignment horizontal="center" vertical="center"/>
    </xf>
    <xf numFmtId="44" fontId="34" fillId="35" borderId="32" xfId="32" applyFont="1" applyFill="1" applyBorder="1" applyAlignment="1" applyProtection="1">
      <alignment horizontal="center" vertical="center" wrapText="1"/>
    </xf>
    <xf numFmtId="44" fontId="34" fillId="35" borderId="33" xfId="32" applyFont="1" applyFill="1" applyBorder="1" applyAlignment="1" applyProtection="1">
      <alignment horizontal="center" vertical="center" wrapText="1"/>
    </xf>
    <xf numFmtId="0" fontId="34" fillId="35" borderId="9" xfId="0" applyFont="1" applyFill="1" applyBorder="1" applyAlignment="1" applyProtection="1">
      <alignment horizontal="center" vertical="center" wrapText="1"/>
    </xf>
    <xf numFmtId="0" fontId="34" fillId="35" borderId="10" xfId="0" applyFont="1" applyFill="1" applyBorder="1" applyAlignment="1" applyProtection="1">
      <alignment horizontal="center" vertical="center" wrapText="1"/>
    </xf>
    <xf numFmtId="0" fontId="34" fillId="35" borderId="2" xfId="0" applyFont="1" applyFill="1" applyBorder="1" applyAlignment="1" applyProtection="1">
      <alignment horizontal="center" vertical="center" wrapText="1"/>
    </xf>
    <xf numFmtId="0" fontId="34" fillId="35" borderId="3" xfId="0" applyFont="1" applyFill="1" applyBorder="1" applyAlignment="1" applyProtection="1">
      <alignment horizontal="center" vertical="center" wrapText="1"/>
    </xf>
    <xf numFmtId="0" fontId="33" fillId="3" borderId="4" xfId="32" applyNumberFormat="1" applyFont="1" applyFill="1" applyBorder="1" applyAlignment="1">
      <alignment horizontal="center"/>
    </xf>
    <xf numFmtId="0" fontId="33" fillId="3" borderId="5" xfId="32" applyNumberFormat="1" applyFont="1" applyFill="1" applyBorder="1" applyAlignment="1">
      <alignment horizontal="center"/>
    </xf>
    <xf numFmtId="0" fontId="33" fillId="3" borderId="7" xfId="32" applyNumberFormat="1" applyFont="1" applyFill="1" applyBorder="1" applyAlignment="1">
      <alignment horizontal="center"/>
    </xf>
    <xf numFmtId="168" fontId="33" fillId="3" borderId="4" xfId="109" applyNumberFormat="1" applyFont="1" applyFill="1" applyBorder="1" applyAlignment="1">
      <alignment horizontal="center"/>
    </xf>
    <xf numFmtId="168" fontId="33" fillId="3" borderId="5" xfId="109" applyNumberFormat="1" applyFont="1" applyFill="1" applyBorder="1" applyAlignment="1">
      <alignment horizontal="center"/>
    </xf>
    <xf numFmtId="168" fontId="33" fillId="3" borderId="7" xfId="109" applyNumberFormat="1" applyFont="1" applyFill="1" applyBorder="1" applyAlignment="1">
      <alignment horizontal="center"/>
    </xf>
    <xf numFmtId="0" fontId="34" fillId="35" borderId="14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</cellXfs>
  <cellStyles count="110">
    <cellStyle name="20% - Accent1" xfId="49" builtinId="30" customBuiltin="1"/>
    <cellStyle name="20% - Accent1 2" xfId="78" xr:uid="{00000000-0005-0000-0000-000001000000}"/>
    <cellStyle name="20% - Accent1 3" xfId="93" xr:uid="{00000000-0005-0000-0000-000002000000}"/>
    <cellStyle name="20% - Accent2" xfId="52" builtinId="34" customBuiltin="1"/>
    <cellStyle name="20% - Accent2 2" xfId="80" xr:uid="{00000000-0005-0000-0000-000004000000}"/>
    <cellStyle name="20% - Accent2 3" xfId="95" xr:uid="{00000000-0005-0000-0000-000005000000}"/>
    <cellStyle name="20% - Accent3" xfId="55" builtinId="38" customBuiltin="1"/>
    <cellStyle name="20% - Accent3 2" xfId="82" xr:uid="{00000000-0005-0000-0000-000007000000}"/>
    <cellStyle name="20% - Accent3 3" xfId="97" xr:uid="{00000000-0005-0000-0000-000008000000}"/>
    <cellStyle name="20% - Accent4" xfId="58" builtinId="42" customBuiltin="1"/>
    <cellStyle name="20% - Accent4 2" xfId="84" xr:uid="{00000000-0005-0000-0000-00000A000000}"/>
    <cellStyle name="20% - Accent4 3" xfId="99" xr:uid="{00000000-0005-0000-0000-00000B000000}"/>
    <cellStyle name="20% - Accent5" xfId="61" builtinId="46" customBuiltin="1"/>
    <cellStyle name="20% - Accent5 2" xfId="86" xr:uid="{00000000-0005-0000-0000-00000D000000}"/>
    <cellStyle name="20% - Accent5 3" xfId="101" xr:uid="{00000000-0005-0000-0000-00000E000000}"/>
    <cellStyle name="20% - Accent6" xfId="64" builtinId="50" customBuiltin="1"/>
    <cellStyle name="20% - Accent6 2" xfId="88" xr:uid="{00000000-0005-0000-0000-000010000000}"/>
    <cellStyle name="20% - Accent6 3" xfId="103" xr:uid="{00000000-0005-0000-0000-000011000000}"/>
    <cellStyle name="40% - Accent1" xfId="50" builtinId="31" customBuiltin="1"/>
    <cellStyle name="40% - Accent1 2" xfId="79" xr:uid="{00000000-0005-0000-0000-000013000000}"/>
    <cellStyle name="40% - Accent1 3" xfId="94" xr:uid="{00000000-0005-0000-0000-000014000000}"/>
    <cellStyle name="40% - Accent2" xfId="53" builtinId="35" customBuiltin="1"/>
    <cellStyle name="40% - Accent2 2" xfId="81" xr:uid="{00000000-0005-0000-0000-000016000000}"/>
    <cellStyle name="40% - Accent2 3" xfId="96" xr:uid="{00000000-0005-0000-0000-000017000000}"/>
    <cellStyle name="40% - Accent3" xfId="56" builtinId="39" customBuiltin="1"/>
    <cellStyle name="40% - Accent3 2" xfId="83" xr:uid="{00000000-0005-0000-0000-000019000000}"/>
    <cellStyle name="40% - Accent3 3" xfId="98" xr:uid="{00000000-0005-0000-0000-00001A000000}"/>
    <cellStyle name="40% - Accent4" xfId="59" builtinId="43" customBuiltin="1"/>
    <cellStyle name="40% - Accent4 2" xfId="85" xr:uid="{00000000-0005-0000-0000-00001C000000}"/>
    <cellStyle name="40% - Accent4 3" xfId="100" xr:uid="{00000000-0005-0000-0000-00001D000000}"/>
    <cellStyle name="40% - Accent5" xfId="62" builtinId="47" customBuiltin="1"/>
    <cellStyle name="40% - Accent5 2" xfId="87" xr:uid="{00000000-0005-0000-0000-00001F000000}"/>
    <cellStyle name="40% - Accent5 3" xfId="102" xr:uid="{00000000-0005-0000-0000-000020000000}"/>
    <cellStyle name="40% - Accent6" xfId="65" builtinId="51" customBuiltin="1"/>
    <cellStyle name="40% - Accent6 2" xfId="89" xr:uid="{00000000-0005-0000-0000-000022000000}"/>
    <cellStyle name="40% - Accent6 3" xfId="104" xr:uid="{00000000-0005-0000-0000-000023000000}"/>
    <cellStyle name="60% - Accent1 2" xfId="69" xr:uid="{00000000-0005-0000-0000-000024000000}"/>
    <cellStyle name="60% - Accent2 2" xfId="70" xr:uid="{00000000-0005-0000-0000-000025000000}"/>
    <cellStyle name="60% - Accent3 2" xfId="71" xr:uid="{00000000-0005-0000-0000-000026000000}"/>
    <cellStyle name="60% - Accent4 2" xfId="72" xr:uid="{00000000-0005-0000-0000-000027000000}"/>
    <cellStyle name="60% - Accent5 2" xfId="73" xr:uid="{00000000-0005-0000-0000-000028000000}"/>
    <cellStyle name="60% - Accent6 2" xfId="74" xr:uid="{00000000-0005-0000-0000-000029000000}"/>
    <cellStyle name="Accent1" xfId="48" builtinId="29" customBuiltin="1"/>
    <cellStyle name="Accent2" xfId="51" builtinId="33" customBuiltin="1"/>
    <cellStyle name="Accent3" xfId="54" builtinId="37" customBuiltin="1"/>
    <cellStyle name="Accent4" xfId="57" builtinId="41" customBuiltin="1"/>
    <cellStyle name="Accent5" xfId="60" builtinId="45" customBuiltin="1"/>
    <cellStyle name="Accent6" xfId="63" builtinId="49" customBuiltin="1"/>
    <cellStyle name="ALSTEC Bottom" xfId="2" xr:uid="{00000000-0005-0000-0000-000030000000}"/>
    <cellStyle name="ALSTEC Bottom Left" xfId="3" xr:uid="{00000000-0005-0000-0000-000031000000}"/>
    <cellStyle name="ALSTEC Bottom Left 2" xfId="21" xr:uid="{00000000-0005-0000-0000-000032000000}"/>
    <cellStyle name="ALSTEC Bottom Left 3" xfId="28" xr:uid="{00000000-0005-0000-0000-000033000000}"/>
    <cellStyle name="ALSTEC Bottom Left 4" xfId="30" xr:uid="{00000000-0005-0000-0000-000034000000}"/>
    <cellStyle name="ALSTEC Bottom Left_ActBRD" xfId="23" xr:uid="{00000000-0005-0000-0000-000035000000}"/>
    <cellStyle name="ALSTEC Bottom Right" xfId="4" xr:uid="{00000000-0005-0000-0000-000036000000}"/>
    <cellStyle name="ALSTEC Bottom Right 2" xfId="22" xr:uid="{00000000-0005-0000-0000-000037000000}"/>
    <cellStyle name="ALSTEC Bottom Right 3" xfId="29" xr:uid="{00000000-0005-0000-0000-000038000000}"/>
    <cellStyle name="ALSTEC Bottom Right 4" xfId="31" xr:uid="{00000000-0005-0000-0000-000039000000}"/>
    <cellStyle name="ALSTEC Bottom Right_ActBRD" xfId="24" xr:uid="{00000000-0005-0000-0000-00003A000000}"/>
    <cellStyle name="ALSTEC Currency" xfId="5" xr:uid="{00000000-0005-0000-0000-00003B000000}"/>
    <cellStyle name="ALSTEC Date" xfId="6" xr:uid="{00000000-0005-0000-0000-00003C000000}"/>
    <cellStyle name="ALSTEC Detail Header" xfId="7" xr:uid="{00000000-0005-0000-0000-00003D000000}"/>
    <cellStyle name="ALSTEC DOUBLE" xfId="8" xr:uid="{00000000-0005-0000-0000-00003E000000}"/>
    <cellStyle name="ALSTEC DOUBLE 2" xfId="26" xr:uid="{00000000-0005-0000-0000-00003F000000}"/>
    <cellStyle name="ALSTEC Left" xfId="9" xr:uid="{00000000-0005-0000-0000-000040000000}"/>
    <cellStyle name="ALSTEC Middle" xfId="10" xr:uid="{00000000-0005-0000-0000-000041000000}"/>
    <cellStyle name="ALSTEC Normal" xfId="11" xr:uid="{00000000-0005-0000-0000-000042000000}"/>
    <cellStyle name="ALSTEC Normal 2" xfId="27" xr:uid="{00000000-0005-0000-0000-000043000000}"/>
    <cellStyle name="ALSTEC Normal_ActBRD" xfId="12" xr:uid="{00000000-0005-0000-0000-000044000000}"/>
    <cellStyle name="ALSTEC Report Body" xfId="13" xr:uid="{00000000-0005-0000-0000-000045000000}"/>
    <cellStyle name="ALSTEC Right" xfId="14" xr:uid="{00000000-0005-0000-0000-000046000000}"/>
    <cellStyle name="ALSTEC Subtotal" xfId="15" xr:uid="{00000000-0005-0000-0000-000047000000}"/>
    <cellStyle name="ALSTEC Top" xfId="16" xr:uid="{00000000-0005-0000-0000-000048000000}"/>
    <cellStyle name="ALSTEC Top Left" xfId="17" xr:uid="{00000000-0005-0000-0000-000049000000}"/>
    <cellStyle name="ALSTEC Top Right" xfId="18" xr:uid="{00000000-0005-0000-0000-00004A000000}"/>
    <cellStyle name="ALSTEC Total" xfId="19" xr:uid="{00000000-0005-0000-0000-00004B000000}"/>
    <cellStyle name="Bad" xfId="39" builtinId="27" customBuiltin="1"/>
    <cellStyle name="Calculation" xfId="42" builtinId="22" customBuiltin="1"/>
    <cellStyle name="Check Cell" xfId="44" builtinId="23" customBuiltin="1"/>
    <cellStyle name="Comma" xfId="109" builtinId="3"/>
    <cellStyle name="Comma 2" xfId="66" xr:uid="{00000000-0005-0000-0000-000050000000}"/>
    <cellStyle name="Currency" xfId="32" builtinId="4"/>
    <cellStyle name="Explanatory Text" xfId="46" builtinId="53" customBuiltin="1"/>
    <cellStyle name="Good" xfId="38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40" builtinId="20" customBuiltin="1"/>
    <cellStyle name="Linked Cell" xfId="43" builtinId="24" customBuiltin="1"/>
    <cellStyle name="Neutral 2" xfId="68" xr:uid="{00000000-0005-0000-0000-00005A000000}"/>
    <cellStyle name="Normal" xfId="0" builtinId="0"/>
    <cellStyle name="Normal 2" xfId="20" xr:uid="{00000000-0005-0000-0000-00005C000000}"/>
    <cellStyle name="Normal 3" xfId="25" xr:uid="{00000000-0005-0000-0000-00005D000000}"/>
    <cellStyle name="Normal 3 2" xfId="90" xr:uid="{00000000-0005-0000-0000-00005E000000}"/>
    <cellStyle name="Normal 3 3" xfId="105" xr:uid="{00000000-0005-0000-0000-00005F000000}"/>
    <cellStyle name="Normal 3 4" xfId="75" xr:uid="{00000000-0005-0000-0000-000060000000}"/>
    <cellStyle name="Normal 4" xfId="1" xr:uid="{00000000-0005-0000-0000-000061000000}"/>
    <cellStyle name="Normal 4 2" xfId="92" xr:uid="{00000000-0005-0000-0000-000062000000}"/>
    <cellStyle name="Normal 4 3" xfId="107" xr:uid="{00000000-0005-0000-0000-000063000000}"/>
    <cellStyle name="Normal 4 4" xfId="77" xr:uid="{00000000-0005-0000-0000-000064000000}"/>
    <cellStyle name="Normal 4 5" xfId="108" xr:uid="{00000000-0005-0000-0000-000065000000}"/>
    <cellStyle name="Note 2" xfId="76" xr:uid="{00000000-0005-0000-0000-000066000000}"/>
    <cellStyle name="Note 2 2" xfId="91" xr:uid="{00000000-0005-0000-0000-000067000000}"/>
    <cellStyle name="Note 2 3" xfId="106" xr:uid="{00000000-0005-0000-0000-000068000000}"/>
    <cellStyle name="Output" xfId="41" builtinId="21" customBuiltin="1"/>
    <cellStyle name="Percent" xfId="33" builtinId="5"/>
    <cellStyle name="Title 2" xfId="67" xr:uid="{00000000-0005-0000-0000-00006B000000}"/>
    <cellStyle name="Total" xfId="47" builtinId="25" customBuiltin="1"/>
    <cellStyle name="Warning Text" xfId="45" builtinId="11" customBuiltin="1"/>
  </cellStyles>
  <dxfs count="17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57430715729441"/>
          <c:y val="0.19717088301917593"/>
          <c:w val="0.81893899937615655"/>
          <c:h val="0.46749134394960784"/>
        </c:manualLayout>
      </c:layout>
      <c:lineChart>
        <c:grouping val="standard"/>
        <c:varyColors val="0"/>
        <c:ser>
          <c:idx val="1"/>
          <c:order val="0"/>
          <c:tx>
            <c:v>Final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'FY21'!$E$141:$P$141</c:f>
              <c:numCache>
                <c:formatCode>_("$"* #,##0_);_("$"* \(#,##0\);_("$"* "-"_);_(@_)</c:formatCode>
                <c:ptCount val="12"/>
                <c:pt idx="0">
                  <c:v>13420.806101458322</c:v>
                </c:pt>
                <c:pt idx="1">
                  <c:v>76281.612202916644</c:v>
                </c:pt>
                <c:pt idx="2">
                  <c:v>137217.32280437497</c:v>
                </c:pt>
                <c:pt idx="3">
                  <c:v>31201.353905833283</c:v>
                </c:pt>
                <c:pt idx="4">
                  <c:v>-42230.460492708429</c:v>
                </c:pt>
                <c:pt idx="5">
                  <c:v>33020.195608749884</c:v>
                </c:pt>
                <c:pt idx="6">
                  <c:v>96028.381210208187</c:v>
                </c:pt>
                <c:pt idx="7">
                  <c:v>160376.56231166649</c:v>
                </c:pt>
                <c:pt idx="8">
                  <c:v>71749.272913124805</c:v>
                </c:pt>
                <c:pt idx="9">
                  <c:v>-27972.391485416883</c:v>
                </c:pt>
                <c:pt idx="10">
                  <c:v>19553.554616041438</c:v>
                </c:pt>
                <c:pt idx="11">
                  <c:v>82017.339717499766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1-4F21-951B-0220FA957A02}"/>
            </c:ext>
          </c:extLst>
        </c:ser>
        <c:ser>
          <c:idx val="2"/>
          <c:order val="1"/>
          <c:tx>
            <c:v>Original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'Original Budget'!$E$141:$P$141</c:f>
              <c:numCache>
                <c:formatCode>_("$"* #,##0_);_("$"* \(#,##0\);_("$"* "-"_);_(@_)</c:formatCode>
                <c:ptCount val="12"/>
                <c:pt idx="0">
                  <c:v>9746.3395827060012</c:v>
                </c:pt>
                <c:pt idx="1">
                  <c:v>19492.031332705985</c:v>
                </c:pt>
                <c:pt idx="2">
                  <c:v>29237.723082705968</c:v>
                </c:pt>
                <c:pt idx="3">
                  <c:v>38983.414832705952</c:v>
                </c:pt>
                <c:pt idx="4">
                  <c:v>48729.106582705936</c:v>
                </c:pt>
                <c:pt idx="5">
                  <c:v>58474.798332705919</c:v>
                </c:pt>
                <c:pt idx="6">
                  <c:v>68220.490082705903</c:v>
                </c:pt>
                <c:pt idx="7">
                  <c:v>77966.181832705886</c:v>
                </c:pt>
                <c:pt idx="8">
                  <c:v>87711.87358270587</c:v>
                </c:pt>
                <c:pt idx="9">
                  <c:v>97457.565332705854</c:v>
                </c:pt>
                <c:pt idx="10">
                  <c:v>107203.25708270584</c:v>
                </c:pt>
                <c:pt idx="11">
                  <c:v>116948.94883270582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91-4F21-951B-0220FA957A02}"/>
            </c:ext>
          </c:extLst>
        </c:ser>
        <c:ser>
          <c:idx val="0"/>
          <c:order val="2"/>
          <c:tx>
            <c:v>Revised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Budget'!$E$141:$P$141</c:f>
              <c:numCache>
                <c:formatCode>_("$"* #,##0_);_("$"* \(#,##0\);_("$"* "-"_);_(@_)</c:formatCode>
                <c:ptCount val="12"/>
                <c:pt idx="0">
                  <c:v>9368.5583333332906</c:v>
                </c:pt>
                <c:pt idx="1">
                  <c:v>18737.116666666581</c:v>
                </c:pt>
                <c:pt idx="2">
                  <c:v>28105.674999999872</c:v>
                </c:pt>
                <c:pt idx="3">
                  <c:v>37474.233333333163</c:v>
                </c:pt>
                <c:pt idx="4">
                  <c:v>46842.791666666453</c:v>
                </c:pt>
                <c:pt idx="5">
                  <c:v>56211.349999999744</c:v>
                </c:pt>
                <c:pt idx="6">
                  <c:v>65579.908333333035</c:v>
                </c:pt>
                <c:pt idx="7">
                  <c:v>74948.466666666325</c:v>
                </c:pt>
                <c:pt idx="8">
                  <c:v>84317.024999999616</c:v>
                </c:pt>
                <c:pt idx="9">
                  <c:v>93685.583333332906</c:v>
                </c:pt>
                <c:pt idx="10">
                  <c:v>103054.1416666662</c:v>
                </c:pt>
                <c:pt idx="11">
                  <c:v>112422.69999999949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2-4CB7-B6E3-4AC93E332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5608"/>
        <c:axId val="164002080"/>
      </c:lineChart>
      <c:dateAx>
        <c:axId val="1640056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64002080"/>
        <c:crosses val="autoZero"/>
        <c:auto val="1"/>
        <c:lblOffset val="100"/>
        <c:baseTimeUnit val="months"/>
        <c:majorTimeUnit val="months"/>
        <c:minorUnit val="1"/>
        <c:minorTimeUnit val="months"/>
      </c:dateAx>
      <c:valAx>
        <c:axId val="1640020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75000"/>
                  <a:lumOff val="25000"/>
                  <a:alpha val="70000"/>
                </a:schemeClr>
              </a:solidFill>
              <a:prstDash val="solid"/>
            </a:ln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64005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5135104008370234E-3"/>
                <c:y val="0.28299159115362843"/>
              </c:manualLayout>
            </c:layout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  <a:effectLst>
          <a:softEdge rad="63500"/>
        </a:effectLst>
        <a:scene3d>
          <a:camera prst="orthographicFront"/>
          <a:lightRig rig="threePt" dir="t"/>
        </a:scene3d>
        <a:sp3d prstMaterial="dkEdge">
          <a:bevelB/>
        </a:sp3d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3175" cap="rnd" cmpd="sng">
      <a:solidFill>
        <a:schemeClr val="tx1"/>
      </a:solidFill>
      <a:prstDash val="solid"/>
      <a:miter lim="800000"/>
    </a:ln>
    <a:effectLst/>
    <a:scene3d>
      <a:camera prst="orthographicFront"/>
      <a:lightRig rig="threePt" dir="t"/>
    </a:scene3d>
    <a:sp3d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39913960310465E-2"/>
          <c:y val="0.20162948205748887"/>
          <c:w val="0.86087342565969927"/>
          <c:h val="0.48252126671008599"/>
        </c:manualLayout>
      </c:layout>
      <c:lineChart>
        <c:grouping val="standard"/>
        <c:varyColors val="0"/>
        <c:ser>
          <c:idx val="0"/>
          <c:order val="0"/>
          <c:tx>
            <c:v>ACTUAL/FINAL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'FY21'!$E$141:$P$141</c:f>
              <c:numCache>
                <c:formatCode>_("$"* #,##0_);_("$"* \(#,##0\);_("$"* "-"_);_(@_)</c:formatCode>
                <c:ptCount val="12"/>
                <c:pt idx="0">
                  <c:v>13420.806101458322</c:v>
                </c:pt>
                <c:pt idx="1">
                  <c:v>76281.612202916644</c:v>
                </c:pt>
                <c:pt idx="2">
                  <c:v>137217.32280437497</c:v>
                </c:pt>
                <c:pt idx="3">
                  <c:v>31201.353905833283</c:v>
                </c:pt>
                <c:pt idx="4">
                  <c:v>-42230.460492708429</c:v>
                </c:pt>
                <c:pt idx="5">
                  <c:v>33020.195608749884</c:v>
                </c:pt>
                <c:pt idx="6">
                  <c:v>96028.381210208187</c:v>
                </c:pt>
                <c:pt idx="7">
                  <c:v>160376.56231166649</c:v>
                </c:pt>
                <c:pt idx="8">
                  <c:v>71749.272913124805</c:v>
                </c:pt>
                <c:pt idx="9">
                  <c:v>-27972.391485416883</c:v>
                </c:pt>
                <c:pt idx="10">
                  <c:v>19553.554616041438</c:v>
                </c:pt>
                <c:pt idx="11">
                  <c:v>82017.339717499766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F-4748-960B-6A85150FCB2A}"/>
            </c:ext>
          </c:extLst>
        </c:ser>
        <c:ser>
          <c:idx val="1"/>
          <c:order val="1"/>
          <c:tx>
            <c:v>GOAL 10% CASH (apprx. 30 dyas)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'FY21'!$E$142:$P$142</c:f>
              <c:numCache>
                <c:formatCode>_(* #,##0_);_(* \(#,##0\);_(* "-"_);_(@_)</c:formatCode>
                <c:ptCount val="12"/>
                <c:pt idx="0">
                  <c:v>127916.21242824999</c:v>
                </c:pt>
                <c:pt idx="1">
                  <c:v>127916.21242824999</c:v>
                </c:pt>
                <c:pt idx="2">
                  <c:v>127916.21242824999</c:v>
                </c:pt>
                <c:pt idx="3">
                  <c:v>127916.21242824999</c:v>
                </c:pt>
                <c:pt idx="4">
                  <c:v>127916.21242824999</c:v>
                </c:pt>
                <c:pt idx="5">
                  <c:v>127916.21242824999</c:v>
                </c:pt>
                <c:pt idx="6">
                  <c:v>127916.21242824999</c:v>
                </c:pt>
                <c:pt idx="7">
                  <c:v>127916.21242824999</c:v>
                </c:pt>
                <c:pt idx="8">
                  <c:v>127916.21242824999</c:v>
                </c:pt>
                <c:pt idx="9">
                  <c:v>127916.21242824999</c:v>
                </c:pt>
                <c:pt idx="10">
                  <c:v>127916.21242824999</c:v>
                </c:pt>
                <c:pt idx="11">
                  <c:v>127916.21242824999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0FF-4748-960B-6A85150FCB2A}"/>
            </c:ext>
          </c:extLst>
        </c:ser>
        <c:ser>
          <c:idx val="2"/>
          <c:order val="2"/>
          <c:tx>
            <c:v>REVISED CASH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Budget'!$E$141:$P$141</c:f>
              <c:numCache>
                <c:formatCode>_("$"* #,##0_);_("$"* \(#,##0\);_("$"* "-"_);_(@_)</c:formatCode>
                <c:ptCount val="12"/>
                <c:pt idx="0">
                  <c:v>9368.5583333332906</c:v>
                </c:pt>
                <c:pt idx="1">
                  <c:v>18737.116666666581</c:v>
                </c:pt>
                <c:pt idx="2">
                  <c:v>28105.674999999872</c:v>
                </c:pt>
                <c:pt idx="3">
                  <c:v>37474.233333333163</c:v>
                </c:pt>
                <c:pt idx="4">
                  <c:v>46842.791666666453</c:v>
                </c:pt>
                <c:pt idx="5">
                  <c:v>56211.349999999744</c:v>
                </c:pt>
                <c:pt idx="6">
                  <c:v>65579.908333333035</c:v>
                </c:pt>
                <c:pt idx="7">
                  <c:v>74948.466666666325</c:v>
                </c:pt>
                <c:pt idx="8">
                  <c:v>84317.024999999616</c:v>
                </c:pt>
                <c:pt idx="9">
                  <c:v>93685.583333332906</c:v>
                </c:pt>
                <c:pt idx="10">
                  <c:v>103054.1416666662</c:v>
                </c:pt>
                <c:pt idx="11">
                  <c:v>112422.69999999949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FF-4748-960B-6A85150FC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5608"/>
        <c:axId val="164002080"/>
        <c:extLst/>
      </c:lineChart>
      <c:dateAx>
        <c:axId val="1640056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64002080"/>
        <c:crosses val="autoZero"/>
        <c:auto val="1"/>
        <c:lblOffset val="100"/>
        <c:baseTimeUnit val="months"/>
        <c:majorTimeUnit val="months"/>
        <c:minorUnit val="1"/>
        <c:minorTimeUnit val="months"/>
      </c:dateAx>
      <c:valAx>
        <c:axId val="1640020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75000"/>
                  <a:lumOff val="25000"/>
                  <a:alpha val="70000"/>
                </a:schemeClr>
              </a:solidFill>
              <a:prstDash val="solid"/>
            </a:ln>
          </c:spPr>
        </c:majorGridlines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64005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7.5135104008370234E-3"/>
                <c:y val="0.28299159115362843"/>
              </c:manualLayout>
            </c:layout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  <a:effectLst>
          <a:softEdge rad="63500"/>
        </a:effectLst>
        <a:scene3d>
          <a:camera prst="orthographicFront"/>
          <a:lightRig rig="threePt" dir="t"/>
        </a:scene3d>
        <a:sp3d prstMaterial="dkEdge">
          <a:bevelB/>
        </a:sp3d>
      </c:spPr>
    </c:plotArea>
    <c:legend>
      <c:legendPos val="b"/>
      <c:layout>
        <c:manualLayout>
          <c:xMode val="edge"/>
          <c:yMode val="edge"/>
          <c:x val="0.15014040242917523"/>
          <c:y val="0.88622634659159205"/>
          <c:w val="0.71813558318744364"/>
          <c:h val="0.1137736534084079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3175" cap="rnd" cmpd="sng">
      <a:solidFill>
        <a:schemeClr val="tx1"/>
      </a:solidFill>
      <a:prstDash val="solid"/>
      <a:miter lim="800000"/>
    </a:ln>
    <a:effectLst/>
    <a:scene3d>
      <a:camera prst="orthographicFront"/>
      <a:lightRig rig="threePt" dir="t"/>
    </a:scene3d>
    <a:sp3d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91303850339202"/>
          <c:y val="0.10286382472829579"/>
          <c:w val="0.77006488121025307"/>
          <c:h val="0.62529323095039191"/>
        </c:manualLayout>
      </c:layout>
      <c:lineChart>
        <c:grouping val="standard"/>
        <c:varyColors val="0"/>
        <c:ser>
          <c:idx val="3"/>
          <c:order val="0"/>
          <c:tx>
            <c:v>Budget</c:v>
          </c:tx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'Revised Budget'!$E$160:$P$160</c:f>
              <c:numCache>
                <c:formatCode>_(* #,##0_);_(* \(#,##0\);_(* "-"_);_(@_)</c:formatCode>
                <c:ptCount val="12"/>
                <c:pt idx="0">
                  <c:v>341</c:v>
                </c:pt>
                <c:pt idx="1">
                  <c:v>341</c:v>
                </c:pt>
                <c:pt idx="2">
                  <c:v>341</c:v>
                </c:pt>
                <c:pt idx="3">
                  <c:v>341</c:v>
                </c:pt>
                <c:pt idx="4">
                  <c:v>341</c:v>
                </c:pt>
                <c:pt idx="5">
                  <c:v>341</c:v>
                </c:pt>
                <c:pt idx="6">
                  <c:v>341</c:v>
                </c:pt>
                <c:pt idx="7">
                  <c:v>341</c:v>
                </c:pt>
                <c:pt idx="8">
                  <c:v>341</c:v>
                </c:pt>
                <c:pt idx="9">
                  <c:v>341</c:v>
                </c:pt>
                <c:pt idx="10">
                  <c:v>341</c:v>
                </c:pt>
                <c:pt idx="11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2-4323-9875-53615537A85E}"/>
            </c:ext>
          </c:extLst>
        </c:ser>
        <c:ser>
          <c:idx val="1"/>
          <c:order val="1"/>
          <c:tx>
            <c:v>Actual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'FY21'!$E$4:$P$4</c:f>
              <c:numCache>
                <c:formatCode>[$-409]mmm\-yy;@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44106</c:v>
                </c:pt>
                <c:pt idx="4">
                  <c:v>44137</c:v>
                </c:pt>
                <c:pt idx="5">
                  <c:v>44168</c:v>
                </c:pt>
                <c:pt idx="6">
                  <c:v>44199</c:v>
                </c:pt>
                <c:pt idx="7">
                  <c:v>44230</c:v>
                </c:pt>
                <c:pt idx="8">
                  <c:v>44261</c:v>
                </c:pt>
                <c:pt idx="9">
                  <c:v>44292</c:v>
                </c:pt>
                <c:pt idx="10">
                  <c:v>44323</c:v>
                </c:pt>
                <c:pt idx="11">
                  <c:v>44354</c:v>
                </c:pt>
              </c:numCache>
            </c:numRef>
          </c:cat>
          <c:val>
            <c:numRef>
              <c:f>'Rev &amp; Enroll'!$Q$24:$AB$24</c:f>
              <c:numCache>
                <c:formatCode>_(* #,##0_);_(* \(#,##0\);_(* "-"_);_(@_)</c:formatCode>
                <c:ptCount val="12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  <c:pt idx="4">
                  <c:v>270</c:v>
                </c:pt>
                <c:pt idx="5">
                  <c:v>270</c:v>
                </c:pt>
                <c:pt idx="6">
                  <c:v>270</c:v>
                </c:pt>
                <c:pt idx="7">
                  <c:v>270</c:v>
                </c:pt>
                <c:pt idx="8">
                  <c:v>270</c:v>
                </c:pt>
                <c:pt idx="9">
                  <c:v>270</c:v>
                </c:pt>
                <c:pt idx="10">
                  <c:v>270</c:v>
                </c:pt>
                <c:pt idx="11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2-4323-9875-53615537A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00512"/>
        <c:axId val="164003256"/>
      </c:lineChart>
      <c:dateAx>
        <c:axId val="164000512"/>
        <c:scaling>
          <c:orientation val="minMax"/>
        </c:scaling>
        <c:delete val="1"/>
        <c:axPos val="b"/>
        <c:numFmt formatCode="[$-409]mmm\-yy;@" sourceLinked="0"/>
        <c:majorTickMark val="in"/>
        <c:minorTickMark val="none"/>
        <c:tickLblPos val="nextTo"/>
        <c:crossAx val="164003256"/>
        <c:crosses val="autoZero"/>
        <c:auto val="1"/>
        <c:lblOffset val="100"/>
        <c:baseTimeUnit val="months"/>
        <c:majorUnit val="1"/>
        <c:minorUnit val="1"/>
      </c:dateAx>
      <c:valAx>
        <c:axId val="164003256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chemeClr val="tx1">
                <a:lumMod val="75000"/>
                <a:lumOff val="2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64000512"/>
        <c:crosses val="autoZero"/>
        <c:crossBetween val="between"/>
      </c:valAx>
      <c:spPr>
        <a:solidFill>
          <a:schemeClr val="bg1">
            <a:alpha val="75000"/>
          </a:schemeClr>
        </a:solidFill>
        <a:ln w="3175">
          <a:solidFill>
            <a:schemeClr val="accent3">
              <a:lumMod val="50000"/>
            </a:schemeClr>
          </a:solidFill>
        </a:ln>
      </c:spPr>
    </c:plotArea>
    <c:legend>
      <c:legendPos val="l"/>
      <c:overlay val="0"/>
      <c:spPr>
        <a:solidFill>
          <a:srgbClr val="FFFFFF">
            <a:alpha val="75000"/>
          </a:srgb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>
              <a:solidFill>
                <a:schemeClr val="tx1">
                  <a:lumMod val="85000"/>
                  <a:lumOff val="1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3175" cap="sq" cmpd="sng">
      <a:solidFill>
        <a:schemeClr val="tx1"/>
      </a:solidFill>
      <a:prstDash val="solid"/>
      <a:bevel/>
    </a:ln>
    <a:effectLst/>
    <a:scene3d>
      <a:camera prst="orthographicFront"/>
      <a:lightRig rig="threePt" dir="t"/>
    </a:scene3d>
    <a:sp3d prstMaterial="matte"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88827</xdr:colOff>
      <xdr:row>47</xdr:row>
      <xdr:rowOff>168966</xdr:rowOff>
    </xdr:from>
    <xdr:to>
      <xdr:col>8</xdr:col>
      <xdr:colOff>159024</xdr:colOff>
      <xdr:row>55</xdr:row>
      <xdr:rowOff>43272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BCD1FCF-FEAA-4782-8585-98F020DAF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0.26802</cdr:x>
      <cdr:y>0</cdr:y>
    </cdr:from>
    <cdr:to>
      <cdr:x>0.78716</cdr:x>
      <cdr:y>0.18455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7701" y="0"/>
          <a:ext cx="2997834" cy="217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Month-End Cash Balance Surplus/(Deficit)</a:t>
          </a:r>
          <a:endParaRPr lang="en-US" sz="105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29193</xdr:colOff>
      <xdr:row>46</xdr:row>
      <xdr:rowOff>158047</xdr:rowOff>
    </xdr:from>
    <xdr:to>
      <xdr:col>11</xdr:col>
      <xdr:colOff>59635</xdr:colOff>
      <xdr:row>56</xdr:row>
      <xdr:rowOff>76200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60EA5D7-3158-4410-BF73-5BD8D2EE4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1658</xdr:colOff>
      <xdr:row>4</xdr:row>
      <xdr:rowOff>163993</xdr:rowOff>
    </xdr:from>
    <xdr:to>
      <xdr:col>11</xdr:col>
      <xdr:colOff>1</xdr:colOff>
      <xdr:row>9</xdr:row>
      <xdr:rowOff>104363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964B786-F740-4571-B71A-058953B72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0.24236</cdr:x>
      <cdr:y>0.00316</cdr:y>
    </cdr:from>
    <cdr:to>
      <cdr:x>0.7615</cdr:x>
      <cdr:y>0.1388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4267" y="4595"/>
          <a:ext cx="3457809" cy="197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Month-End Cash Balance Surplus/(Deficit)</a:t>
          </a:r>
          <a:endParaRPr lang="en-US" sz="1050">
            <a:effectLst/>
          </a:endParaRP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ka Capulo" refreshedDate="43933.524831134258" createdVersion="6" refreshedVersion="6" minRefreshableVersion="3" recordCount="252" xr:uid="{B28B36EA-B4C1-4000-93D1-2AC9051D0F69}">
  <cacheSource type="worksheet">
    <worksheetSource ref="A1:N1048576" sheet="Import"/>
  </cacheSource>
  <cacheFields count="14">
    <cacheField name="Cycle Name" numFmtId="49">
      <sharedItems containsBlank="1"/>
    </cacheField>
    <cacheField name="Fund Element Value" numFmtId="49">
      <sharedItems containsBlank="1"/>
    </cacheField>
    <cacheField name="Budget Pool Number" numFmtId="49">
      <sharedItems containsBlank="1"/>
    </cacheField>
    <cacheField name="Account Code" numFmtId="0">
      <sharedItems containsBlank="1"/>
    </cacheField>
    <cacheField name="Account Type Name" numFmtId="49">
      <sharedItems containsBlank="1"/>
    </cacheField>
    <cacheField name="Amount" numFmtId="0">
      <sharedItems containsBlank="1" containsMixedTypes="1" containsNumber="1" minValue="0" maxValue="563369.32209599984"/>
    </cacheField>
    <cacheField name="Value" numFmtId="0">
      <sharedItems containsString="0" containsBlank="1" containsNumber="1" minValue="0" maxValue="563369.32209599984"/>
    </cacheField>
    <cacheField name="Auto Create Account" numFmtId="49">
      <sharedItems containsBlank="1"/>
    </cacheField>
    <cacheField name="Comment" numFmtId="49">
      <sharedItems containsBlank="1"/>
    </cacheField>
    <cacheField name="Function-Grant" numFmtId="49">
      <sharedItems containsBlank="1"/>
    </cacheField>
    <cacheField name="Function" numFmtId="0">
      <sharedItems containsBlank="1"/>
    </cacheField>
    <cacheField name="Object" numFmtId="0">
      <sharedItems containsString="0" containsBlank="1" containsNumber="1" containsInteger="1" minValue="1110" maxValue="6810" count="66">
        <m/>
        <n v="1110"/>
        <n v="1120"/>
        <n v="1191"/>
        <n v="1192"/>
        <n v="1790"/>
        <n v="3110"/>
        <n v="3115"/>
        <n v="3200"/>
        <n v="4500"/>
        <n v="4571"/>
        <n v="4703"/>
        <n v="6111"/>
        <n v="6151"/>
        <n v="6161"/>
        <n v="6211"/>
        <n v="6231"/>
        <n v="6241"/>
        <n v="6261"/>
        <n v="6271"/>
        <n v="6281"/>
        <n v="6300"/>
        <n v="6331"/>
        <n v="6441"/>
        <n v="6521"/>
        <n v="6522"/>
        <n v="6535"/>
        <n v="6569"/>
        <n v="6610"/>
        <n v="6641"/>
        <n v="6642"/>
        <n v="6320"/>
        <n v="6114"/>
        <n v="6117"/>
        <n v="6127"/>
        <n v="6154"/>
        <n v="6157"/>
        <n v="6164"/>
        <n v="6167"/>
        <n v="6214"/>
        <n v="6217"/>
        <n v="6227"/>
        <n v="6234"/>
        <n v="6237"/>
        <n v="6244"/>
        <n v="6247"/>
        <n v="6264"/>
        <n v="6267"/>
        <n v="6274"/>
        <n v="6277"/>
        <n v="6284"/>
        <n v="6287"/>
        <n v="6334"/>
        <n v="6336"/>
        <n v="6337"/>
        <n v="6531"/>
        <n v="6340"/>
        <n v="6810"/>
        <n v="6540"/>
        <n v="6350"/>
        <n v="6651"/>
        <n v="6410"/>
        <n v="6622"/>
        <n v="6420"/>
        <n v="6430"/>
        <n v="6519"/>
      </sharedItems>
    </cacheField>
    <cacheField name="Grant" numFmtId="0">
      <sharedItems containsBlank="1"/>
    </cacheField>
    <cacheField name="Location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">
  <r>
    <s v="Required"/>
    <s v="Required"/>
    <s v="Required"/>
    <s v="Required"/>
    <s v="Required"/>
    <s v="Required"/>
    <m/>
    <m/>
    <m/>
    <m/>
    <m/>
    <x v="0"/>
    <m/>
    <m/>
  </r>
  <r>
    <s v="An existing Accounting Cycle name._x000a_varchar(32)"/>
    <s v="Fund element value for new Budget._x000a_varchar(64)"/>
    <s v="Use a unique number for each different pool;_x000a_Use a 0 for no pooling;_x000a_int"/>
    <s v="Full account code for the Budget line._x000a_varchar(255)"/>
    <s v="One of the following:_x000a_Asset_x000a_Liability_x000a_Expenditure_x000a_Revenue_x000a_Other Financing Uses_x000a_Other Financing Sources_x000a_Fund Balance/Retained Earnings_x000a_varchar(32)"/>
    <s v="money"/>
    <m/>
    <s v="Set to Yes to create the account code when it does not exists._x000a_1 - Yes_x000a_0 - No_x000a_int"/>
    <s v="varchar(255)"/>
    <m/>
    <m/>
    <x v="0"/>
    <m/>
    <m/>
  </r>
  <r>
    <m/>
    <m/>
    <m/>
    <m/>
    <m/>
    <m/>
    <m/>
    <m/>
    <m/>
    <m/>
    <m/>
    <x v="0"/>
    <m/>
    <m/>
  </r>
  <r>
    <s v="FY19-20"/>
    <s v="100"/>
    <s v="0"/>
    <s v="100-000-0000-1110-000-00-01"/>
    <s v="Revenue"/>
    <n v="359250.00249599997"/>
    <n v="359250.00249599997"/>
    <s v="0"/>
    <m/>
    <s v="0000-000"/>
    <s v="0000"/>
    <x v="1"/>
    <s v="000"/>
    <s v="00-01"/>
  </r>
  <r>
    <s v="FY19-20"/>
    <s v="100"/>
    <s v="0"/>
    <s v="100-000-0000-1120-000-00-01"/>
    <s v="Revenue"/>
    <n v="394630.68456000002"/>
    <n v="394630.68456000002"/>
    <s v="0"/>
    <m/>
    <s v="0000-000"/>
    <s v="0000"/>
    <x v="2"/>
    <s v="000"/>
    <s v="00-01"/>
  </r>
  <r>
    <s v="FY19-20"/>
    <s v="100"/>
    <s v="0"/>
    <s v="100-000-0000-1191-000-00-01"/>
    <s v="Revenue"/>
    <n v="1360.795464"/>
    <n v="1360.795464"/>
    <s v="0"/>
    <m/>
    <s v="0000-000"/>
    <s v="0000"/>
    <x v="3"/>
    <s v="000"/>
    <s v="00-01"/>
  </r>
  <r>
    <s v="FY19-20"/>
    <s v="100"/>
    <s v="0"/>
    <s v="100-000-0000-1192-000-00-01"/>
    <s v="Revenue"/>
    <n v="42184.659384000006"/>
    <n v="42184.659384000006"/>
    <s v="0"/>
    <m/>
    <s v="0000-000"/>
    <s v="0000"/>
    <x v="4"/>
    <s v="000"/>
    <s v="00-01"/>
  </r>
  <r>
    <s v="FY19-20"/>
    <s v="100"/>
    <s v="0"/>
    <s v="100-000-0000-1790-000-00-01"/>
    <s v="Revenue"/>
    <n v="0"/>
    <n v="0"/>
    <s v="0"/>
    <m/>
    <s v="0000-000"/>
    <s v="0000"/>
    <x v="5"/>
    <s v="000"/>
    <s v="00-01"/>
  </r>
  <r>
    <s v="FY19-20"/>
    <s v="100"/>
    <s v="0"/>
    <s v="100-000-0000-3110-000-00-01"/>
    <s v="Revenue"/>
    <n v="563369.32209599984"/>
    <n v="563369.32209599984"/>
    <s v="0"/>
    <m/>
    <s v="0000-000"/>
    <s v="0000"/>
    <x v="6"/>
    <s v="000"/>
    <s v="00-01"/>
  </r>
  <r>
    <s v="FY19-20"/>
    <s v="100"/>
    <s v="0"/>
    <s v="100-000-0000-3115-000-00-01"/>
    <s v="Revenue"/>
    <n v="0"/>
    <n v="0"/>
    <s v="0"/>
    <m/>
    <s v="0000-000"/>
    <s v="0000"/>
    <x v="7"/>
    <s v="000"/>
    <s v="00-01"/>
  </r>
  <r>
    <s v="FY19-20"/>
    <s v="100"/>
    <s v="0"/>
    <s v="100-000-0000-3200-000-00-01"/>
    <s v="Revenue"/>
    <n v="0"/>
    <n v="0"/>
    <s v="0"/>
    <m/>
    <s v="0000-000"/>
    <s v="0000"/>
    <x v="8"/>
    <s v="000"/>
    <s v="00-01"/>
  </r>
  <r>
    <s v="FY19-20"/>
    <s v="100"/>
    <s v="0"/>
    <s v="100-000-0000-3200-294-00-01"/>
    <s v="Revenue"/>
    <n v="0"/>
    <n v="0"/>
    <s v="0"/>
    <m/>
    <s v="0000-294"/>
    <s v="0000"/>
    <x v="8"/>
    <s v="294"/>
    <s v="00-01"/>
  </r>
  <r>
    <s v="FY19-20"/>
    <s v="100"/>
    <s v="0"/>
    <s v="100-000-0000-3200-325-00-01"/>
    <s v="Revenue"/>
    <n v="0"/>
    <n v="0"/>
    <s v="0"/>
    <m/>
    <s v="0000-325"/>
    <s v="0000"/>
    <x v="8"/>
    <s v="325"/>
    <s v="00-01"/>
  </r>
  <r>
    <s v="FY19-20"/>
    <s v="100"/>
    <s v="0"/>
    <s v="100-000-0000-3200-390-00-01"/>
    <s v="Revenue"/>
    <n v="384"/>
    <n v="384"/>
    <s v="0"/>
    <m/>
    <s v="0000-390"/>
    <s v="0000"/>
    <x v="8"/>
    <s v="390"/>
    <s v="00-01"/>
  </r>
  <r>
    <s v="FY19-20"/>
    <s v="100"/>
    <s v="0"/>
    <s v="100-000-0000-4500-000-00-01"/>
    <s v="Revenue"/>
    <n v="0"/>
    <n v="0"/>
    <s v="0"/>
    <m/>
    <s v="0000-000"/>
    <s v="0000"/>
    <x v="9"/>
    <s v="000"/>
    <s v="00-01"/>
  </r>
  <r>
    <s v="FY19-20"/>
    <s v="100"/>
    <s v="0"/>
    <s v="100-000-0000-4571-000-00-01"/>
    <s v="Revenue"/>
    <n v="0"/>
    <n v="0"/>
    <s v="0"/>
    <m/>
    <s v="0000-000"/>
    <s v="0000"/>
    <x v="10"/>
    <s v="000"/>
    <s v="00-01"/>
  </r>
  <r>
    <s v="FY19-20"/>
    <s v="100"/>
    <s v="0"/>
    <s v="100-000-0000-4703-000-00-01"/>
    <s v="Revenue"/>
    <n v="0"/>
    <n v="0"/>
    <s v="0"/>
    <m/>
    <s v="0000-000"/>
    <s v="0000"/>
    <x v="11"/>
    <s v="000"/>
    <s v="00-01"/>
  </r>
  <r>
    <s v="FY19-20"/>
    <s v="100"/>
    <s v="0"/>
    <s v="100-100-1000--000-32-01"/>
    <m/>
    <m/>
    <m/>
    <s v="0"/>
    <m/>
    <s v="1000-000"/>
    <s v="1000"/>
    <x v="0"/>
    <s v="000"/>
    <s v="00-01"/>
  </r>
  <r>
    <s v="FY19-20"/>
    <s v="100"/>
    <s v="0"/>
    <s v="100-100-1000-6111-000-32-01"/>
    <s v="Expenditure"/>
    <n v="109442.56499999999"/>
    <n v="109442.56499999999"/>
    <s v="0"/>
    <m/>
    <s v="1000-000"/>
    <s v="1000"/>
    <x v="12"/>
    <s v="000"/>
    <s v="32-01"/>
  </r>
  <r>
    <s v="FY19-20"/>
    <s v="100"/>
    <s v="0"/>
    <s v="100-100-1000-6151-000-32-01"/>
    <s v="Expenditure"/>
    <n v="6000"/>
    <n v="6000"/>
    <s v="0"/>
    <m/>
    <s v="1000-000"/>
    <s v="1000"/>
    <x v="13"/>
    <s v="000"/>
    <s v="32-01"/>
  </r>
  <r>
    <s v="FY19-20"/>
    <s v="100"/>
    <s v="0"/>
    <s v="100-100-1000-6161-000-32-01"/>
    <s v="Expenditure"/>
    <n v="1200"/>
    <n v="1200"/>
    <s v="0"/>
    <m/>
    <s v="1000-000"/>
    <s v="1000"/>
    <x v="14"/>
    <s v="000"/>
    <s v="32-01"/>
  </r>
  <r>
    <s v="FY19-20"/>
    <s v="100"/>
    <s v="0"/>
    <s v="100-100-1000-6211-000-32-01"/>
    <s v="Expenditure"/>
    <n v="888"/>
    <n v="888"/>
    <s v="0"/>
    <m/>
    <s v="1000-000"/>
    <s v="1000"/>
    <x v="15"/>
    <s v="000"/>
    <s v="32-01"/>
  </r>
  <r>
    <s v="FY19-20"/>
    <s v="100"/>
    <s v="0"/>
    <s v="100-100-1000-6231-000-32-01"/>
    <s v="Expenditure"/>
    <n v="16689.991162499999"/>
    <n v="16689.991162499999"/>
    <s v="0"/>
    <m/>
    <s v="1000-000"/>
    <s v="1000"/>
    <x v="16"/>
    <s v="000"/>
    <s v="32-01"/>
  </r>
  <r>
    <s v="FY19-20"/>
    <s v="100"/>
    <s v="0"/>
    <s v="100-100-1000-6241-000-32-01"/>
    <s v="Expenditure"/>
    <n v="1691.3171924999999"/>
    <n v="1691.3171924999999"/>
    <s v="0"/>
    <m/>
    <s v="1000-000"/>
    <s v="1000"/>
    <x v="17"/>
    <s v="000"/>
    <s v="32-01"/>
  </r>
  <r>
    <s v="FY19-20"/>
    <s v="100"/>
    <s v="0"/>
    <s v="100-100-1000-6261-000-32-01"/>
    <s v="Expenditure"/>
    <n v="936"/>
    <n v="936"/>
    <s v="0"/>
    <m/>
    <s v="1000-000"/>
    <s v="1000"/>
    <x v="18"/>
    <s v="000"/>
    <s v="32-01"/>
  </r>
  <r>
    <s v="FY19-20"/>
    <s v="100"/>
    <s v="0"/>
    <s v="100-100-1000-6271-000-32-01"/>
    <s v="Expenditure"/>
    <n v="758.17667249999988"/>
    <n v="758.17667249999988"/>
    <s v="0"/>
    <m/>
    <s v="1000-000"/>
    <s v="1000"/>
    <x v="19"/>
    <s v="000"/>
    <s v="32-01"/>
  </r>
  <r>
    <s v="FY19-20"/>
    <s v="100"/>
    <s v="0"/>
    <s v="100-100-1000-6281-000-32-01"/>
    <s v="Expenditure"/>
    <n v="9720"/>
    <n v="9720"/>
    <s v="0"/>
    <m/>
    <s v="1000-000"/>
    <s v="1000"/>
    <x v="20"/>
    <s v="000"/>
    <s v="32-01"/>
  </r>
  <r>
    <s v="FY19-20"/>
    <s v="100"/>
    <s v="0"/>
    <s v="100-100-1000-6300-000-32-01"/>
    <s v="Expenditure"/>
    <n v="810"/>
    <n v="810"/>
    <s v="0"/>
    <m/>
    <s v="1000-000"/>
    <s v="1000"/>
    <x v="21"/>
    <s v="000"/>
    <s v="32-01"/>
  </r>
  <r>
    <s v="FY19-20"/>
    <s v="100"/>
    <s v="0"/>
    <s v="100-100-1000-6331-000-32-01"/>
    <s v="Expenditure"/>
    <n v="1000"/>
    <n v="1000"/>
    <s v="0"/>
    <m/>
    <s v="1000-000"/>
    <s v="1000"/>
    <x v="22"/>
    <s v="000"/>
    <s v="32-01"/>
  </r>
  <r>
    <s v="FY19-20"/>
    <s v="100"/>
    <s v="0"/>
    <s v="100-100-1000-6441-000-32-01"/>
    <s v="Expenditure"/>
    <n v="2000"/>
    <n v="2000"/>
    <s v="0"/>
    <m/>
    <s v="1000-000"/>
    <s v="1000"/>
    <x v="23"/>
    <s v="000"/>
    <s v="32-01"/>
  </r>
  <r>
    <s v="FY19-20"/>
    <s v="100"/>
    <s v="0"/>
    <s v="100-100-1000-6521-000-32-01"/>
    <s v="Expenditure"/>
    <n v="3800"/>
    <n v="3800"/>
    <s v="0"/>
    <m/>
    <s v="1000-000"/>
    <s v="1000"/>
    <x v="24"/>
    <s v="000"/>
    <s v="32-01"/>
  </r>
  <r>
    <s v="FY19-20"/>
    <s v="100"/>
    <s v="0"/>
    <s v="100-100-1000-6522-000-32-01"/>
    <s v="Expenditure"/>
    <n v="0"/>
    <n v="0"/>
    <s v="0"/>
    <m/>
    <s v="1000-000"/>
    <s v="1000"/>
    <x v="25"/>
    <s v="000"/>
    <s v="32-01"/>
  </r>
  <r>
    <s v="FY19-20"/>
    <s v="100"/>
    <s v="0"/>
    <s v="100-100-1000-6535-000-32-01"/>
    <s v="Expenditure"/>
    <n v="1740"/>
    <n v="1740"/>
    <s v="0"/>
    <m/>
    <s v="1000-000"/>
    <s v="1000"/>
    <x v="26"/>
    <s v="000"/>
    <s v="32-01"/>
  </r>
  <r>
    <s v="FY19-20"/>
    <s v="100"/>
    <s v="0"/>
    <s v="100-100-1000-6569-000-32-01"/>
    <s v="Expenditure"/>
    <n v="519500"/>
    <n v="519500"/>
    <s v="0"/>
    <m/>
    <s v="1000-000"/>
    <s v="1000"/>
    <x v="27"/>
    <s v="000"/>
    <s v="32-01"/>
  </r>
  <r>
    <s v="FY19-20"/>
    <s v="100"/>
    <s v="0"/>
    <s v="100-100-1000-6569-390-32-01"/>
    <s v="Expenditure"/>
    <n v="0"/>
    <n v="0"/>
    <s v="0"/>
    <m/>
    <s v="1000-390"/>
    <s v="1000"/>
    <x v="27"/>
    <s v="390"/>
    <s v="32-01"/>
  </r>
  <r>
    <s v="FY19-20"/>
    <s v="100"/>
    <s v="0"/>
    <s v="100-100-1000-6610-000-32-01"/>
    <s v="Expenditure"/>
    <n v="1200"/>
    <n v="1200"/>
    <s v="0"/>
    <m/>
    <s v="1000-000"/>
    <s v="1000"/>
    <x v="28"/>
    <s v="000"/>
    <s v="32-01"/>
  </r>
  <r>
    <s v="FY19-20"/>
    <s v="100"/>
    <s v="0"/>
    <s v="100-100-1000-6610-325-32-01"/>
    <s v="Expenditure"/>
    <n v="384"/>
    <n v="384"/>
    <s v="0"/>
    <m/>
    <s v="1000-325"/>
    <s v="1000"/>
    <x v="28"/>
    <s v="325"/>
    <s v="32-01"/>
  </r>
  <r>
    <s v="FY19-20"/>
    <s v="100"/>
    <s v="0"/>
    <s v="100-100-1000-6641-000-32-01"/>
    <s v="Expenditure"/>
    <n v="48050"/>
    <n v="48050"/>
    <s v="0"/>
    <m/>
    <s v="1000-000"/>
    <s v="1000"/>
    <x v="29"/>
    <s v="000"/>
    <s v="32-01"/>
  </r>
  <r>
    <s v="FY19-20"/>
    <s v="100"/>
    <s v="0"/>
    <s v="100-100-1000-6642-000-32-01"/>
    <s v="Expenditure"/>
    <n v="63450"/>
    <n v="63450"/>
    <s v="0"/>
    <m/>
    <s v="1000-000"/>
    <s v="1000"/>
    <x v="30"/>
    <s v="000"/>
    <s v="32-01"/>
  </r>
  <r>
    <s v="FY19-20"/>
    <s v="100"/>
    <s v="0"/>
    <s v="100-100-2000--000-32-01"/>
    <m/>
    <m/>
    <m/>
    <s v="0"/>
    <m/>
    <s v="2000-000"/>
    <s v="2000"/>
    <x v="0"/>
    <s v="000"/>
    <s v="00-01"/>
  </r>
  <r>
    <s v="FY19-20"/>
    <s v="100"/>
    <s v="0"/>
    <s v="100-100-2140-6320-000-32-01"/>
    <s v="Expenditure"/>
    <n v="0"/>
    <n v="0"/>
    <s v="0"/>
    <m/>
    <s v="2140-000"/>
    <s v="2140"/>
    <x v="31"/>
    <s v="000"/>
    <s v="32-01"/>
  </r>
  <r>
    <s v="FY19-20"/>
    <s v="100"/>
    <s v="0"/>
    <s v="100-100-2410--000-32-01"/>
    <m/>
    <m/>
    <m/>
    <s v="0"/>
    <m/>
    <s v="2410-000"/>
    <s v="2410"/>
    <x v="0"/>
    <s v="000"/>
    <s v="00-01"/>
  </r>
  <r>
    <s v="FY19-20"/>
    <s v="100"/>
    <s v="0"/>
    <s v="100-100-2410-6114-000-32-01"/>
    <s v="Expenditure"/>
    <n v="98381.25"/>
    <n v="98381.25"/>
    <s v="0"/>
    <m/>
    <s v="2410-000"/>
    <s v="2410"/>
    <x v="32"/>
    <s v="000"/>
    <s v="32-01"/>
  </r>
  <r>
    <s v="FY19-20"/>
    <s v="100"/>
    <s v="0"/>
    <s v="100-100-2410-6117-000-32-01"/>
    <s v="Expenditure"/>
    <n v="46081.079999999987"/>
    <n v="46081.079999999987"/>
    <s v="0"/>
    <m/>
    <s v="2410-000"/>
    <s v="2410"/>
    <x v="33"/>
    <s v="000"/>
    <s v="32-01"/>
  </r>
  <r>
    <s v="FY19-20"/>
    <s v="100"/>
    <s v="0"/>
    <s v="100-100-2410-6127-000-32-01"/>
    <s v="Expenditure"/>
    <n v="39520"/>
    <n v="39520"/>
    <s v="0"/>
    <m/>
    <s v="2410-000"/>
    <s v="2410"/>
    <x v="34"/>
    <s v="000"/>
    <s v="32-01"/>
  </r>
  <r>
    <s v="FY19-20"/>
    <s v="100"/>
    <s v="0"/>
    <s v="100-100-2410-6151-000-32-01"/>
    <s v="Expenditure"/>
    <n v="0"/>
    <n v="0"/>
    <s v="0"/>
    <m/>
    <s v="2410-000"/>
    <s v="2410"/>
    <x v="13"/>
    <s v="000"/>
    <s v="32-01"/>
  </r>
  <r>
    <s v="FY19-20"/>
    <s v="100"/>
    <s v="0"/>
    <s v="100-100-2410-6154-000-32-01"/>
    <s v="Expenditure"/>
    <n v="6895"/>
    <n v="6895"/>
    <s v="0"/>
    <m/>
    <s v="2410-000"/>
    <s v="2410"/>
    <x v="35"/>
    <s v="000"/>
    <s v="32-01"/>
  </r>
  <r>
    <s v="FY19-20"/>
    <s v="100"/>
    <s v="0"/>
    <s v="100-100-2410-6157-000-32-01"/>
    <s v="Expenditure"/>
    <n v="3000"/>
    <n v="3000"/>
    <s v="0"/>
    <m/>
    <s v="2410-000"/>
    <s v="2410"/>
    <x v="36"/>
    <s v="000"/>
    <s v="32-01"/>
  </r>
  <r>
    <s v="FY19-20"/>
    <s v="100"/>
    <s v="0"/>
    <s v="100-100-2410-6164-000-32-01"/>
    <s v="Expenditure"/>
    <n v="1000"/>
    <n v="1000"/>
    <s v="0"/>
    <m/>
    <s v="2410-000"/>
    <s v="2410"/>
    <x v="37"/>
    <s v="000"/>
    <s v="32-01"/>
  </r>
  <r>
    <s v="FY19-20"/>
    <s v="100"/>
    <s v="0"/>
    <s v="100-100-2410-6167-000-32-01"/>
    <s v="Expenditure"/>
    <n v="600"/>
    <n v="600"/>
    <s v="0"/>
    <m/>
    <s v="2410-000"/>
    <s v="2410"/>
    <x v="38"/>
    <s v="000"/>
    <s v="32-01"/>
  </r>
  <r>
    <s v="FY19-20"/>
    <s v="100"/>
    <s v="0"/>
    <s v="100-100-2410-6214-000-32-01"/>
    <s v="Expenditure"/>
    <n v="444"/>
    <n v="444"/>
    <s v="0"/>
    <m/>
    <s v="2410-000"/>
    <s v="2410"/>
    <x v="39"/>
    <s v="000"/>
    <s v="32-01"/>
  </r>
  <r>
    <s v="FY19-20"/>
    <s v="100"/>
    <s v="0"/>
    <s v="100-100-2410-6217-000-32-01"/>
    <s v="Expenditure"/>
    <n v="444"/>
    <n v="444"/>
    <s v="0"/>
    <m/>
    <s v="2410-000"/>
    <s v="2410"/>
    <x v="40"/>
    <s v="000"/>
    <s v="32-01"/>
  </r>
  <r>
    <s v="FY19-20"/>
    <s v="100"/>
    <s v="0"/>
    <s v="100-100-2410-6227-000-32-01"/>
    <s v="Expenditure"/>
    <n v="2450.2400000000002"/>
    <n v="2450.2400000000002"/>
    <s v="0"/>
    <m/>
    <s v="2410-000"/>
    <s v="2410"/>
    <x v="41"/>
    <s v="000"/>
    <s v="32-01"/>
  </r>
  <r>
    <s v="FY19-20"/>
    <s v="100"/>
    <s v="0"/>
    <s v="100-100-2410-6234-000-32-01"/>
    <s v="Expenditure"/>
    <n v="28776.515625"/>
    <n v="28776.515625"/>
    <s v="0"/>
    <m/>
    <s v="2410-000"/>
    <s v="2410"/>
    <x v="42"/>
    <s v="000"/>
    <s v="32-01"/>
  </r>
  <r>
    <s v="FY19-20"/>
    <s v="100"/>
    <s v="0"/>
    <s v="100-100-2410-6237-000-32-01"/>
    <s v="Expenditure"/>
    <n v="7027.364700000001"/>
    <n v="7027.364700000001"/>
    <s v="0"/>
    <m/>
    <s v="2410-000"/>
    <s v="2410"/>
    <x v="43"/>
    <s v="000"/>
    <s v="32-01"/>
  </r>
  <r>
    <s v="FY19-20"/>
    <s v="100"/>
    <s v="0"/>
    <s v="100-100-2410-6244-000-32-01"/>
    <s v="Expenditure"/>
    <n v="1541.005625"/>
    <n v="1541.005625"/>
    <s v="0"/>
    <m/>
    <s v="2410-000"/>
    <s v="2410"/>
    <x v="44"/>
    <s v="000"/>
    <s v="32-01"/>
  </r>
  <r>
    <s v="FY19-20"/>
    <s v="100"/>
    <s v="0"/>
    <s v="100-100-2410-6247-000-32-01"/>
    <s v="Expenditure"/>
    <n v="1293.4156600000003"/>
    <n v="1293.4156600000003"/>
    <s v="0"/>
    <m/>
    <s v="2410-000"/>
    <s v="2410"/>
    <x v="45"/>
    <s v="000"/>
    <s v="32-01"/>
  </r>
  <r>
    <s v="FY19-20"/>
    <s v="100"/>
    <s v="0"/>
    <s v="100-100-2410-6264-000-32-01"/>
    <s v="Expenditure"/>
    <n v="468"/>
    <n v="468"/>
    <s v="0"/>
    <m/>
    <s v="2410-000"/>
    <s v="2410"/>
    <x v="46"/>
    <s v="000"/>
    <s v="32-01"/>
  </r>
  <r>
    <s v="FY19-20"/>
    <s v="100"/>
    <s v="0"/>
    <s v="100-100-2410-6267-000-32-01"/>
    <s v="Expenditure"/>
    <n v="1060.8"/>
    <n v="1060.8"/>
    <s v="0"/>
    <m/>
    <s v="2410-000"/>
    <s v="2410"/>
    <x v="47"/>
    <s v="000"/>
    <s v="32-01"/>
  </r>
  <r>
    <s v="FY19-20"/>
    <s v="100"/>
    <s v="0"/>
    <s v="100-100-2410-6274-000-32-01"/>
    <s v="Expenditure"/>
    <n v="690.79562499999986"/>
    <n v="690.79562499999986"/>
    <s v="0"/>
    <m/>
    <s v="2410-000"/>
    <s v="2410"/>
    <x v="48"/>
    <s v="000"/>
    <s v="32-01"/>
  </r>
  <r>
    <s v="FY19-20"/>
    <s v="100"/>
    <s v="0"/>
    <s v="100-100-2410-6277-000-32-01"/>
    <s v="Expenditure"/>
    <n v="579.80701999999985"/>
    <n v="579.80701999999985"/>
    <s v="0"/>
    <m/>
    <s v="2410-000"/>
    <s v="2410"/>
    <x v="49"/>
    <s v="000"/>
    <s v="32-01"/>
  </r>
  <r>
    <s v="FY19-20"/>
    <s v="100"/>
    <s v="0"/>
    <s v="100-100-2410-6284-000-32-01"/>
    <s v="Expenditure"/>
    <n v="4860"/>
    <n v="4860"/>
    <s v="0"/>
    <m/>
    <s v="2410-000"/>
    <s v="2410"/>
    <x v="50"/>
    <s v="000"/>
    <s v="32-01"/>
  </r>
  <r>
    <s v="FY19-20"/>
    <s v="100"/>
    <s v="0"/>
    <s v="100-100-2410-6287-000-32-01"/>
    <s v="Expenditure"/>
    <n v="4860"/>
    <n v="4860"/>
    <s v="0"/>
    <m/>
    <s v="2410-000"/>
    <s v="2410"/>
    <x v="51"/>
    <s v="000"/>
    <s v="32-01"/>
  </r>
  <r>
    <s v="FY19-20"/>
    <s v="100"/>
    <s v="0"/>
    <s v="100-100-2410-6320-000-32-01"/>
    <s v="Expenditure"/>
    <n v="2500"/>
    <n v="2500"/>
    <s v="0"/>
    <m/>
    <s v="2410-000"/>
    <s v="2410"/>
    <x v="31"/>
    <s v="000"/>
    <s v="32-01"/>
  </r>
  <r>
    <s v="FY19-20"/>
    <s v="100"/>
    <s v="0"/>
    <s v="100-100-2410-6334-000-32-01"/>
    <s v="Expenditure"/>
    <n v="750"/>
    <n v="750"/>
    <s v="0"/>
    <m/>
    <s v="2410-000"/>
    <s v="2410"/>
    <x v="52"/>
    <s v="000"/>
    <s v="32-01"/>
  </r>
  <r>
    <s v="FY19-20"/>
    <s v="100"/>
    <s v="0"/>
    <s v="100-100-2410-6336-000-32-01"/>
    <s v="Expenditure"/>
    <n v="0"/>
    <n v="0"/>
    <s v="0"/>
    <m/>
    <s v="2410-000"/>
    <s v="2410"/>
    <x v="53"/>
    <s v="000"/>
    <s v="32-01"/>
  </r>
  <r>
    <s v="FY19-20"/>
    <s v="100"/>
    <s v="0"/>
    <s v="100-100-2410-6337-000-32-01"/>
    <s v="Expenditure"/>
    <n v="500"/>
    <n v="500"/>
    <s v="0"/>
    <m/>
    <s v="2410-000"/>
    <s v="2410"/>
    <x v="54"/>
    <s v="000"/>
    <s v="32-01"/>
  </r>
  <r>
    <s v="FY19-20"/>
    <s v="100"/>
    <s v="0"/>
    <s v="100-100-2410-6610-000-32-01"/>
    <s v="Expenditure"/>
    <n v="1200"/>
    <n v="1200"/>
    <s v="0"/>
    <m/>
    <s v="2410-000"/>
    <s v="2410"/>
    <x v="28"/>
    <s v="000"/>
    <s v="32-01"/>
  </r>
  <r>
    <s v="FY19-20"/>
    <s v="100"/>
    <s v="0"/>
    <s v="100-100-2500--000-32-01"/>
    <m/>
    <m/>
    <m/>
    <s v="0"/>
    <m/>
    <s v="2500-000"/>
    <s v="2500"/>
    <x v="0"/>
    <s v="000"/>
    <s v="00-01"/>
  </r>
  <r>
    <s v="FY19-20"/>
    <s v="100"/>
    <s v="0"/>
    <s v="100-100-2500-6300-000-32-01"/>
    <s v="Expenditure"/>
    <n v="1500"/>
    <n v="1500"/>
    <s v="0"/>
    <m/>
    <s v="2500-000"/>
    <s v="2500"/>
    <x v="21"/>
    <s v="000"/>
    <s v="32-01"/>
  </r>
  <r>
    <s v="FY19-20"/>
    <s v="100"/>
    <s v="0"/>
    <s v="100-100-2500-6531-000-32-01"/>
    <s v="Expenditure"/>
    <n v="1800"/>
    <n v="1800"/>
    <s v="0"/>
    <m/>
    <s v="2500-000"/>
    <s v="2500"/>
    <x v="55"/>
    <s v="000"/>
    <s v="32-01"/>
  </r>
  <r>
    <s v="FY19-20"/>
    <s v="100"/>
    <s v="0"/>
    <s v="100-100-2500-6535-000-32-01"/>
    <s v="Expenditure"/>
    <n v="0"/>
    <n v="0"/>
    <s v="0"/>
    <m/>
    <s v="2500-000"/>
    <s v="2500"/>
    <x v="26"/>
    <s v="000"/>
    <s v="32-01"/>
  </r>
  <r>
    <s v="FY19-20"/>
    <s v="100"/>
    <s v="0"/>
    <s v="100-100-2500-6610-000-32-01"/>
    <s v="Expenditure"/>
    <n v="3600"/>
    <n v="3600"/>
    <s v="0"/>
    <m/>
    <s v="2500-000"/>
    <s v="2500"/>
    <x v="28"/>
    <s v="000"/>
    <s v="32-01"/>
  </r>
  <r>
    <s v="FY19-20"/>
    <s v="100"/>
    <s v="0"/>
    <s v="100-100-2510--000-32-01"/>
    <m/>
    <m/>
    <m/>
    <s v="0"/>
    <m/>
    <s v="2510-000"/>
    <s v="2510"/>
    <x v="0"/>
    <s v="000"/>
    <s v="00-01"/>
  </r>
  <r>
    <s v="FY19-20"/>
    <s v="100"/>
    <s v="0"/>
    <s v="100-100-2510-6340-000-32-01"/>
    <s v="Expenditure"/>
    <n v="29160"/>
    <n v="29160"/>
    <s v="0"/>
    <m/>
    <s v="2510-000"/>
    <s v="2510"/>
    <x v="56"/>
    <s v="000"/>
    <s v="32-01"/>
  </r>
  <r>
    <s v="FY19-20"/>
    <s v="100"/>
    <s v="0"/>
    <s v="100-100-2510-6810-000-32-01"/>
    <s v="Expenditure"/>
    <n v="1710"/>
    <n v="1710"/>
    <s v="0"/>
    <m/>
    <s v="2510-000"/>
    <s v="2510"/>
    <x v="57"/>
    <s v="000"/>
    <s v="32-01"/>
  </r>
  <r>
    <s v="FY19-20"/>
    <s v="100"/>
    <s v="0"/>
    <s v="100-100-2560--000-32-01"/>
    <m/>
    <m/>
    <m/>
    <s v="0"/>
    <m/>
    <s v="2560-000"/>
    <s v="2560"/>
    <x v="0"/>
    <s v="000"/>
    <s v="00-01"/>
  </r>
  <r>
    <s v="FY19-20"/>
    <s v="100"/>
    <s v="0"/>
    <s v="100-100-2560-6540-000-32-01"/>
    <s v="Expenditure"/>
    <n v="2000"/>
    <n v="2000"/>
    <s v="0"/>
    <m/>
    <s v="2560-000"/>
    <s v="2560"/>
    <x v="58"/>
    <s v="000"/>
    <s v="32-01"/>
  </r>
  <r>
    <s v="FY19-20"/>
    <s v="100"/>
    <s v="0"/>
    <s v="100-100-2580--000-32-01"/>
    <m/>
    <m/>
    <m/>
    <s v="0"/>
    <m/>
    <s v="2580-000"/>
    <s v="2580"/>
    <x v="0"/>
    <s v="000"/>
    <s v="00-01"/>
  </r>
  <r>
    <s v="FY19-20"/>
    <s v="100"/>
    <s v="0"/>
    <s v="100-100-2580-6350-000-32-01"/>
    <s v="Expenditure"/>
    <n v="2000"/>
    <n v="2000"/>
    <s v="0"/>
    <m/>
    <s v="2580-000"/>
    <s v="2580"/>
    <x v="59"/>
    <s v="000"/>
    <s v="32-01"/>
  </r>
  <r>
    <s v="FY19-20"/>
    <s v="100"/>
    <s v="0"/>
    <s v="100-100-2580-6651-000-32-01"/>
    <s v="Expenditure"/>
    <n v="0"/>
    <n v="0"/>
    <s v="0"/>
    <m/>
    <s v="2580-000"/>
    <s v="2580"/>
    <x v="60"/>
    <s v="000"/>
    <s v="32-01"/>
  </r>
  <r>
    <s v="FY19-20"/>
    <s v="100"/>
    <s v="0"/>
    <s v="100-100-2600--000-32-01"/>
    <m/>
    <m/>
    <m/>
    <s v="0"/>
    <m/>
    <s v="2600-000"/>
    <s v="2600"/>
    <x v="0"/>
    <s v="000"/>
    <s v="00-01"/>
  </r>
  <r>
    <s v="FY19-20"/>
    <s v="100"/>
    <s v="0"/>
    <s v="100-100-2600-6441-000-32-01"/>
    <s v="Expenditure"/>
    <n v="111776.79999999997"/>
    <n v="111776.79999999997"/>
    <s v="0"/>
    <m/>
    <s v="2600-000"/>
    <s v="2600"/>
    <x v="23"/>
    <s v="000"/>
    <s v="32-01"/>
  </r>
  <r>
    <s v="FY19-20"/>
    <s v="100"/>
    <s v="0"/>
    <s v="100-100-2610--000-32-01"/>
    <m/>
    <m/>
    <m/>
    <s v="0"/>
    <m/>
    <s v="2610-000"/>
    <s v="2610"/>
    <x v="0"/>
    <s v="000"/>
    <s v="00-01"/>
  </r>
  <r>
    <s v="FY19-20"/>
    <s v="100"/>
    <s v="0"/>
    <s v="100-100-2610-6340-000-32-01"/>
    <s v="Expenditure"/>
    <n v="0"/>
    <n v="0"/>
    <s v="0"/>
    <m/>
    <s v="2610-000"/>
    <s v="2610"/>
    <x v="56"/>
    <s v="000"/>
    <s v="32-01"/>
  </r>
  <r>
    <s v="FY19-20"/>
    <s v="100"/>
    <s v="0"/>
    <s v="100-100-2610-6410-000-32-01"/>
    <s v="Expenditure"/>
    <n v="2400"/>
    <n v="2400"/>
    <s v="0"/>
    <m/>
    <s v="2610-000"/>
    <s v="2610"/>
    <x v="61"/>
    <s v="000"/>
    <s v="32-01"/>
  </r>
  <r>
    <s v="FY19-20"/>
    <s v="100"/>
    <s v="0"/>
    <s v="100-100-2610-6622-000-32-01"/>
    <s v="Expenditure"/>
    <n v="9600"/>
    <n v="9600"/>
    <s v="0"/>
    <m/>
    <s v="2610-000"/>
    <s v="2610"/>
    <x v="62"/>
    <s v="000"/>
    <s v="32-01"/>
  </r>
  <r>
    <s v="FY19-20"/>
    <s v="100"/>
    <s v="0"/>
    <s v="100-100-2620--000-32-01"/>
    <m/>
    <m/>
    <m/>
    <s v="0"/>
    <m/>
    <s v="2620-000"/>
    <s v="2620"/>
    <x v="0"/>
    <s v="000"/>
    <s v="00-01"/>
  </r>
  <r>
    <s v="FY19-20"/>
    <s v="100"/>
    <s v="0"/>
    <s v="100-100-2620-6420-000-32-01"/>
    <s v="Expenditure"/>
    <n v="9100"/>
    <n v="9100"/>
    <s v="0"/>
    <m/>
    <s v="2620-000"/>
    <s v="2620"/>
    <x v="63"/>
    <s v="000"/>
    <s v="32-01"/>
  </r>
  <r>
    <s v="FY19-20"/>
    <s v="100"/>
    <s v="0"/>
    <s v="100-100-2630-6420-000-32-01"/>
    <s v="Expenditure"/>
    <n v="2200"/>
    <n v="2200"/>
    <s v="0"/>
    <m/>
    <s v="2630-000"/>
    <s v="2630"/>
    <x v="63"/>
    <s v="000"/>
    <s v="32-01"/>
  </r>
  <r>
    <s v="FY19-20"/>
    <s v="100"/>
    <s v="0"/>
    <s v="100-100-2620-6430-000-32-01"/>
    <s v="Expenditure"/>
    <n v="57305"/>
    <n v="57305"/>
    <s v="0"/>
    <m/>
    <s v="2620-000"/>
    <s v="2620"/>
    <x v="64"/>
    <s v="000"/>
    <s v="32-01"/>
  </r>
  <r>
    <s v="FY19-20"/>
    <s v="100"/>
    <s v="0"/>
    <s v="100-100-2700--000-32-01"/>
    <m/>
    <m/>
    <m/>
    <s v="0"/>
    <m/>
    <s v="2700-000"/>
    <s v="2700"/>
    <x v="0"/>
    <s v="000"/>
    <s v="00-01"/>
  </r>
  <r>
    <s v="FY19-20"/>
    <s v="100"/>
    <s v="0"/>
    <s v="100-100-2710-6519-000-32-01"/>
    <s v="Expenditure"/>
    <n v="400"/>
    <n v="400"/>
    <s v="0"/>
    <m/>
    <s v="2710-000"/>
    <s v="2710"/>
    <x v="65"/>
    <s v="000"/>
    <s v="00-01"/>
  </r>
  <r>
    <s v="FY19-20"/>
    <s v="100"/>
    <s v="0"/>
    <s v="100-100-2900--000-32-01"/>
    <m/>
    <m/>
    <m/>
    <s v="0"/>
    <m/>
    <s v="2900-000"/>
    <s v="2900"/>
    <x v="0"/>
    <s v="000"/>
    <s v="00-01"/>
  </r>
  <r>
    <s v="FY19-20"/>
    <s v="100"/>
    <s v="0"/>
    <s v="100-100-2900-6810-000-32-01"/>
    <s v="Expenditure"/>
    <n v="427"/>
    <n v="427"/>
    <s v="0"/>
    <m/>
    <s v="2900-000"/>
    <s v="2900"/>
    <x v="57"/>
    <s v="000"/>
    <s v="00-01"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  <r>
    <m/>
    <m/>
    <m/>
    <m/>
    <m/>
    <m/>
    <m/>
    <m/>
    <m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CBF87F-9E64-421E-8475-FDEBF0055E9E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0" firstHeaderRow="1" firstDataRow="1" firstDataCol="1"/>
  <pivotFields count="14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ascending">
      <items count="6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32"/>
        <item x="33"/>
        <item x="34"/>
        <item x="13"/>
        <item x="35"/>
        <item x="36"/>
        <item x="14"/>
        <item x="37"/>
        <item x="38"/>
        <item x="15"/>
        <item x="39"/>
        <item x="40"/>
        <item x="41"/>
        <item x="16"/>
        <item x="42"/>
        <item x="43"/>
        <item x="17"/>
        <item x="44"/>
        <item x="45"/>
        <item x="18"/>
        <item x="46"/>
        <item x="47"/>
        <item x="19"/>
        <item x="48"/>
        <item x="49"/>
        <item x="20"/>
        <item x="50"/>
        <item x="51"/>
        <item x="21"/>
        <item x="31"/>
        <item x="22"/>
        <item x="52"/>
        <item x="53"/>
        <item x="54"/>
        <item x="56"/>
        <item x="59"/>
        <item x="61"/>
        <item x="63"/>
        <item x="64"/>
        <item x="23"/>
        <item x="65"/>
        <item x="24"/>
        <item x="25"/>
        <item x="55"/>
        <item x="26"/>
        <item x="58"/>
        <item x="27"/>
        <item x="28"/>
        <item x="62"/>
        <item x="29"/>
        <item x="30"/>
        <item x="60"/>
        <item x="57"/>
        <item x="0"/>
        <item t="default"/>
      </items>
    </pivotField>
    <pivotField showAll="0"/>
    <pivotField showAll="0"/>
  </pivotFields>
  <rowFields count="1">
    <field x="11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Items count="1">
    <i/>
  </colItems>
  <dataFields count="1">
    <dataField name="Sum of Amount" fld="5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61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1.7109375" style="119" customWidth="1"/>
    <col min="2" max="2" width="1.5703125" style="119" customWidth="1"/>
    <col min="3" max="3" width="27.140625" style="119" customWidth="1"/>
    <col min="4" max="4" width="1.28515625" style="119" customWidth="1"/>
    <col min="5" max="5" width="17.85546875" style="119" customWidth="1"/>
    <col min="6" max="6" width="14.42578125" style="119" hidden="1" customWidth="1"/>
    <col min="7" max="8" width="17.85546875" style="119" customWidth="1"/>
    <col min="9" max="9" width="3.7109375" style="119" customWidth="1"/>
    <col min="10" max="12" width="8.85546875" style="119"/>
    <col min="13" max="15" width="9.85546875" style="119" customWidth="1"/>
    <col min="16" max="16" width="8.85546875" style="119"/>
    <col min="17" max="17" width="21.28515625" style="119" customWidth="1"/>
    <col min="18" max="18" width="1.7109375" style="119" customWidth="1"/>
    <col min="19" max="23" width="12.7109375" style="119" customWidth="1"/>
    <col min="24" max="16384" width="8.85546875" style="119"/>
  </cols>
  <sheetData>
    <row r="1" spans="1:15" s="1" customFormat="1" ht="23.25" x14ac:dyDescent="0.35">
      <c r="A1" s="198" t="str">
        <f>'Rev &amp; Enroll'!$F$5</f>
        <v>Nevada State High School (Henderson)</v>
      </c>
      <c r="B1" s="81"/>
      <c r="C1" s="17"/>
      <c r="E1" s="2"/>
      <c r="H1" s="2"/>
      <c r="J1" s="2"/>
    </row>
    <row r="2" spans="1:15" s="1" customFormat="1" ht="15.75" x14ac:dyDescent="0.25">
      <c r="A2" s="199" t="str">
        <f>CONCATENATE('Rev &amp; Enroll'!F7," ","Budget Summary")</f>
        <v>FY21 Budget Summary</v>
      </c>
      <c r="B2" s="82"/>
      <c r="C2" s="17"/>
      <c r="D2" s="13"/>
      <c r="E2" s="2"/>
      <c r="H2" s="2"/>
      <c r="J2" s="2"/>
    </row>
    <row r="3" spans="1:15" s="6" customFormat="1" ht="13.5" customHeight="1" x14ac:dyDescent="0.2">
      <c r="A3" s="5" t="str">
        <f>'FY21'!A3</f>
        <v>Board Approved: Proposed: 4/16/2020</v>
      </c>
      <c r="B3" s="83"/>
      <c r="C3" s="17"/>
      <c r="E3" s="7"/>
      <c r="H3" s="7"/>
      <c r="J3" s="226"/>
    </row>
    <row r="4" spans="1:15" s="6" customFormat="1" ht="13.5" customHeight="1" x14ac:dyDescent="0.2">
      <c r="A4" s="5"/>
      <c r="B4" s="83"/>
      <c r="C4" s="17"/>
      <c r="E4" s="7"/>
      <c r="H4" s="7"/>
      <c r="J4" s="226"/>
    </row>
    <row r="5" spans="1:15" s="6" customFormat="1" ht="13.5" customHeight="1" x14ac:dyDescent="0.2">
      <c r="A5" s="5"/>
      <c r="B5" s="83"/>
      <c r="C5" s="17"/>
      <c r="E5" s="7"/>
      <c r="H5" s="7"/>
      <c r="J5" s="226"/>
    </row>
    <row r="6" spans="1:15" x14ac:dyDescent="0.2">
      <c r="A6" s="120"/>
      <c r="C6" s="228"/>
      <c r="D6" s="228"/>
      <c r="E6" s="228"/>
      <c r="F6" s="228"/>
      <c r="G6" s="228"/>
      <c r="H6" s="228"/>
    </row>
    <row r="7" spans="1:15" x14ac:dyDescent="0.2">
      <c r="A7" s="121"/>
      <c r="B7" s="122"/>
      <c r="C7" s="228"/>
      <c r="D7" s="228"/>
      <c r="E7" s="227" t="s">
        <v>577</v>
      </c>
      <c r="F7" s="227" t="str">
        <f>E7</f>
        <v>FY20</v>
      </c>
      <c r="G7" s="227" t="str">
        <f>MYP!E4</f>
        <v>FY21</v>
      </c>
      <c r="H7" s="693" t="s">
        <v>146</v>
      </c>
      <c r="J7" s="231" t="s">
        <v>364</v>
      </c>
    </row>
    <row r="8" spans="1:15" x14ac:dyDescent="0.2">
      <c r="A8" s="121"/>
      <c r="B8" s="122"/>
      <c r="C8" s="228"/>
      <c r="D8" s="228"/>
      <c r="E8" s="126" t="s">
        <v>527</v>
      </c>
      <c r="F8" s="126" t="s">
        <v>510</v>
      </c>
      <c r="G8" s="126" t="s">
        <v>578</v>
      </c>
      <c r="H8" s="694"/>
    </row>
    <row r="9" spans="1:15" s="231" customFormat="1" ht="14.85" customHeight="1" x14ac:dyDescent="0.2">
      <c r="A9" s="230"/>
      <c r="B9" s="229" t="s">
        <v>579</v>
      </c>
      <c r="D9" s="232"/>
      <c r="E9" s="374">
        <v>231</v>
      </c>
      <c r="F9" s="233">
        <f>'Revised Budget'!Q160</f>
        <v>341</v>
      </c>
      <c r="G9" s="233">
        <f>AVERAGE('Rev &amp; Enroll'!W24:AB24)</f>
        <v>270</v>
      </c>
      <c r="H9" s="233">
        <f>+G9-E9</f>
        <v>39</v>
      </c>
    </row>
    <row r="10" spans="1:15" x14ac:dyDescent="0.2">
      <c r="B10" s="124" t="s">
        <v>147</v>
      </c>
      <c r="C10" s="125"/>
      <c r="D10" s="125"/>
      <c r="E10" s="128"/>
      <c r="F10" s="129"/>
      <c r="G10" s="129"/>
      <c r="H10" s="130"/>
    </row>
    <row r="11" spans="1:15" x14ac:dyDescent="0.2">
      <c r="B11" s="124"/>
      <c r="C11" s="131" t="s">
        <v>171</v>
      </c>
      <c r="D11" s="131"/>
      <c r="E11" s="102">
        <v>1427660.5592</v>
      </c>
      <c r="F11" s="172">
        <f>'Revised Budget'!S13</f>
        <v>1718640</v>
      </c>
      <c r="G11" s="172">
        <f>'FY21'!S13</f>
        <v>1360795.4639999997</v>
      </c>
      <c r="H11" s="103">
        <f>G11-E11</f>
        <v>-66865.095200000331</v>
      </c>
    </row>
    <row r="12" spans="1:15" x14ac:dyDescent="0.2">
      <c r="B12" s="124"/>
      <c r="C12" s="125" t="s">
        <v>170</v>
      </c>
      <c r="D12" s="125"/>
      <c r="E12" s="105">
        <v>38944.170000000006</v>
      </c>
      <c r="F12" s="173">
        <f>'Revised Budget'!S17</f>
        <v>10948.200000000004</v>
      </c>
      <c r="G12" s="173">
        <f>'FY21'!S17</f>
        <v>384</v>
      </c>
      <c r="H12" s="106">
        <f>G12-E12</f>
        <v>-38560.170000000006</v>
      </c>
    </row>
    <row r="13" spans="1:15" x14ac:dyDescent="0.2">
      <c r="B13" s="124"/>
      <c r="C13" s="131" t="s">
        <v>148</v>
      </c>
      <c r="D13" s="131"/>
      <c r="E13" s="108">
        <v>0</v>
      </c>
      <c r="F13" s="152">
        <f>'Revised Budget'!S22</f>
        <v>0</v>
      </c>
      <c r="G13" s="152">
        <f>'FY21'!S22</f>
        <v>0</v>
      </c>
      <c r="H13" s="109">
        <f>G13-E13</f>
        <v>0</v>
      </c>
      <c r="I13" s="110"/>
      <c r="M13" s="640"/>
      <c r="N13" s="639"/>
      <c r="O13" s="639"/>
    </row>
    <row r="14" spans="1:15" ht="15" x14ac:dyDescent="0.35">
      <c r="B14" s="124"/>
      <c r="C14" s="132" t="s">
        <v>149</v>
      </c>
      <c r="D14" s="132"/>
      <c r="E14" s="111">
        <v>0</v>
      </c>
      <c r="F14" s="174">
        <f>'Revised Budget'!S25</f>
        <v>0</v>
      </c>
      <c r="G14" s="174">
        <f>'FY21'!S25</f>
        <v>0</v>
      </c>
      <c r="H14" s="112">
        <f>G14-E14</f>
        <v>0</v>
      </c>
      <c r="I14" s="110"/>
      <c r="O14" s="639"/>
    </row>
    <row r="15" spans="1:15" ht="5.0999999999999996" customHeight="1" x14ac:dyDescent="0.2">
      <c r="B15" s="124"/>
      <c r="C15" s="125"/>
      <c r="D15" s="125"/>
      <c r="E15" s="108"/>
      <c r="F15" s="152"/>
      <c r="G15" s="152"/>
      <c r="H15" s="109"/>
      <c r="I15" s="110"/>
    </row>
    <row r="16" spans="1:15" s="120" customFormat="1" ht="15" x14ac:dyDescent="0.35">
      <c r="C16" s="124" t="s">
        <v>105</v>
      </c>
      <c r="D16" s="124"/>
      <c r="E16" s="133">
        <v>1466604.7291999999</v>
      </c>
      <c r="F16" s="175">
        <f>SUM(F11:F14)</f>
        <v>1729588.2</v>
      </c>
      <c r="G16" s="175">
        <f>SUM(G11:G14)</f>
        <v>1361179.4639999997</v>
      </c>
      <c r="H16" s="134">
        <f>SUM(H11:H14)</f>
        <v>-105425.26520000034</v>
      </c>
      <c r="I16" s="136"/>
    </row>
    <row r="17" spans="2:9" ht="5.0999999999999996" customHeight="1" x14ac:dyDescent="0.2">
      <c r="B17" s="120"/>
      <c r="E17" s="108"/>
      <c r="F17" s="152"/>
      <c r="G17" s="152"/>
      <c r="H17" s="109"/>
      <c r="I17" s="110"/>
    </row>
    <row r="18" spans="2:9" x14ac:dyDescent="0.2">
      <c r="B18" s="120" t="s">
        <v>59</v>
      </c>
      <c r="E18" s="114"/>
      <c r="F18" s="153"/>
      <c r="G18" s="153"/>
      <c r="H18" s="115"/>
      <c r="I18" s="110"/>
    </row>
    <row r="19" spans="2:9" x14ac:dyDescent="0.2">
      <c r="B19" s="120"/>
      <c r="C19" s="119" t="s">
        <v>174</v>
      </c>
      <c r="E19" s="114">
        <v>333544.64</v>
      </c>
      <c r="F19" s="153">
        <f>'Revised Budget'!S41</f>
        <v>400614.22</v>
      </c>
      <c r="G19" s="153">
        <f>'FY21'!S41</f>
        <v>312119.89500000002</v>
      </c>
      <c r="H19" s="103">
        <f t="shared" ref="H19:H27" si="0">G19-E19</f>
        <v>-21424.744999999995</v>
      </c>
      <c r="I19" s="110"/>
    </row>
    <row r="20" spans="2:9" x14ac:dyDescent="0.2">
      <c r="B20" s="120"/>
      <c r="C20" s="119" t="s">
        <v>173</v>
      </c>
      <c r="E20" s="108">
        <v>83783.311708802081</v>
      </c>
      <c r="F20" s="152">
        <f>'Revised Budget'!S62</f>
        <v>115646.82</v>
      </c>
      <c r="G20" s="152">
        <f>'FY21'!S62</f>
        <v>85179.429282499987</v>
      </c>
      <c r="H20" s="109">
        <f t="shared" si="0"/>
        <v>1396.1175736979058</v>
      </c>
      <c r="I20" s="110"/>
    </row>
    <row r="21" spans="2:9" x14ac:dyDescent="0.2">
      <c r="B21" s="120"/>
      <c r="C21" s="137" t="s">
        <v>175</v>
      </c>
      <c r="D21" s="137"/>
      <c r="E21" s="108">
        <v>15217.119999999999</v>
      </c>
      <c r="F21" s="152">
        <f>'Revised Budget'!S74</f>
        <v>67518</v>
      </c>
      <c r="G21" s="152">
        <f>'FY21'!S74</f>
        <v>38220</v>
      </c>
      <c r="H21" s="109">
        <f t="shared" si="0"/>
        <v>23002.880000000001</v>
      </c>
      <c r="I21" s="110"/>
    </row>
    <row r="22" spans="2:9" x14ac:dyDescent="0.2">
      <c r="C22" s="137" t="s">
        <v>172</v>
      </c>
      <c r="D22" s="137"/>
      <c r="E22" s="108">
        <v>122220.19999999998</v>
      </c>
      <c r="F22" s="152">
        <f>'Revised Budget'!S80</f>
        <v>134240</v>
      </c>
      <c r="G22" s="152">
        <f>'FY21'!S80</f>
        <v>184781.8</v>
      </c>
      <c r="H22" s="109">
        <f t="shared" si="0"/>
        <v>62561.600000000006</v>
      </c>
      <c r="I22" s="110"/>
    </row>
    <row r="23" spans="2:9" x14ac:dyDescent="0.2">
      <c r="C23" s="137" t="s">
        <v>101</v>
      </c>
      <c r="D23" s="137"/>
      <c r="E23" s="108">
        <v>512296.77999999997</v>
      </c>
      <c r="F23" s="152">
        <f>'Revised Budget'!S94</f>
        <v>695888</v>
      </c>
      <c r="G23" s="152">
        <f>'FY21'!S94</f>
        <v>529240</v>
      </c>
      <c r="H23" s="109">
        <f t="shared" si="0"/>
        <v>16943.22000000003</v>
      </c>
      <c r="I23" s="110"/>
    </row>
    <row r="24" spans="2:9" x14ac:dyDescent="0.2">
      <c r="C24" s="137" t="s">
        <v>102</v>
      </c>
      <c r="D24" s="137"/>
      <c r="E24" s="108">
        <v>176790.8</v>
      </c>
      <c r="F24" s="152">
        <f>'Revised Budget'!S103</f>
        <v>200585.46</v>
      </c>
      <c r="G24" s="152">
        <f>'FY21'!S103</f>
        <v>127484</v>
      </c>
      <c r="H24" s="109">
        <f t="shared" si="0"/>
        <v>-49306.799999999988</v>
      </c>
      <c r="I24" s="110"/>
    </row>
    <row r="25" spans="2:9" x14ac:dyDescent="0.2">
      <c r="C25" s="137" t="s">
        <v>103</v>
      </c>
      <c r="D25" s="137"/>
      <c r="E25" s="108">
        <v>0</v>
      </c>
      <c r="F25" s="152">
        <f>'Revised Budget'!S106</f>
        <v>0</v>
      </c>
      <c r="G25" s="152">
        <f>'FY21'!S106</f>
        <v>0</v>
      </c>
      <c r="H25" s="109">
        <f t="shared" si="0"/>
        <v>0</v>
      </c>
      <c r="I25" s="110"/>
    </row>
    <row r="26" spans="2:9" x14ac:dyDescent="0.2">
      <c r="C26" s="137" t="s">
        <v>104</v>
      </c>
      <c r="D26" s="137"/>
      <c r="E26" s="108">
        <v>1758</v>
      </c>
      <c r="F26" s="152">
        <f>'Revised Budget'!S109</f>
        <v>2673</v>
      </c>
      <c r="G26" s="152">
        <f>'FY21'!S109</f>
        <v>2137</v>
      </c>
      <c r="H26" s="109">
        <f t="shared" si="0"/>
        <v>379</v>
      </c>
      <c r="I26" s="110"/>
    </row>
    <row r="27" spans="2:9" ht="15" x14ac:dyDescent="0.35">
      <c r="C27" s="137" t="s">
        <v>43</v>
      </c>
      <c r="D27" s="137"/>
      <c r="E27" s="111">
        <v>0</v>
      </c>
      <c r="F27" s="174">
        <f>'Revised Budget'!S113</f>
        <v>0</v>
      </c>
      <c r="G27" s="174">
        <f>'FY21'!S113</f>
        <v>0</v>
      </c>
      <c r="H27" s="112">
        <f t="shared" si="0"/>
        <v>0</v>
      </c>
      <c r="I27" s="110"/>
    </row>
    <row r="28" spans="2:9" ht="5.0999999999999996" customHeight="1" x14ac:dyDescent="0.2">
      <c r="E28" s="108"/>
      <c r="F28" s="152"/>
      <c r="G28" s="152"/>
      <c r="H28" s="109"/>
      <c r="I28" s="110"/>
    </row>
    <row r="29" spans="2:9" s="120" customFormat="1" ht="15" x14ac:dyDescent="0.35">
      <c r="C29" s="124" t="s">
        <v>107</v>
      </c>
      <c r="D29" s="124"/>
      <c r="E29" s="133">
        <v>1245611</v>
      </c>
      <c r="F29" s="175">
        <f>ROUND(SUM(F19:F28),0)</f>
        <v>1617166</v>
      </c>
      <c r="G29" s="175">
        <f>ROUND(SUM(G19:G28),0)</f>
        <v>1279162</v>
      </c>
      <c r="H29" s="134">
        <f>SUM(H19:H28)</f>
        <v>33551.272573697963</v>
      </c>
      <c r="I29" s="136"/>
    </row>
    <row r="30" spans="2:9" x14ac:dyDescent="0.2">
      <c r="B30" s="124"/>
      <c r="C30" s="125"/>
      <c r="D30" s="125"/>
      <c r="E30" s="138"/>
      <c r="F30" s="238"/>
      <c r="G30" s="238"/>
      <c r="H30" s="139"/>
    </row>
    <row r="31" spans="2:9" s="141" customFormat="1" x14ac:dyDescent="0.2">
      <c r="C31" s="141" t="s">
        <v>150</v>
      </c>
      <c r="E31" s="138">
        <v>220993.72919999994</v>
      </c>
      <c r="F31" s="238">
        <f>F16-F29</f>
        <v>112422.19999999995</v>
      </c>
      <c r="G31" s="238">
        <f>G16-G29</f>
        <v>82017.463999999687</v>
      </c>
      <c r="H31" s="139">
        <f>H16-H29</f>
        <v>-138976.53777369831</v>
      </c>
    </row>
    <row r="32" spans="2:9" s="141" customFormat="1" ht="5.0999999999999996" customHeight="1" x14ac:dyDescent="0.2">
      <c r="E32" s="142"/>
      <c r="F32" s="236"/>
      <c r="G32" s="236"/>
      <c r="H32" s="143"/>
    </row>
    <row r="33" spans="2:10" s="141" customFormat="1" x14ac:dyDescent="0.2">
      <c r="C33" s="144" t="s">
        <v>151</v>
      </c>
      <c r="E33" s="145">
        <v>100304.7</v>
      </c>
      <c r="F33" s="239">
        <f>+E33</f>
        <v>100304.7</v>
      </c>
      <c r="G33" s="239">
        <f>E34</f>
        <v>321298.42919999996</v>
      </c>
      <c r="H33" s="143"/>
    </row>
    <row r="34" spans="2:10" s="141" customFormat="1" ht="18" customHeight="1" x14ac:dyDescent="0.2">
      <c r="C34" s="147" t="s">
        <v>152</v>
      </c>
      <c r="E34" s="148">
        <v>321298.42919999996</v>
      </c>
      <c r="F34" s="235">
        <f>F31+F33</f>
        <v>212726.89999999997</v>
      </c>
      <c r="G34" s="235">
        <f>G31+G33</f>
        <v>403315.89319999964</v>
      </c>
      <c r="H34" s="143"/>
    </row>
    <row r="35" spans="2:10" s="141" customFormat="1" ht="6.6" customHeight="1" x14ac:dyDescent="0.2">
      <c r="C35" s="147"/>
      <c r="E35" s="240"/>
      <c r="F35" s="241"/>
      <c r="G35" s="241"/>
      <c r="H35" s="242"/>
    </row>
    <row r="36" spans="2:10" s="141" customFormat="1" x14ac:dyDescent="0.2">
      <c r="C36" s="147"/>
      <c r="D36" s="234"/>
      <c r="E36" s="237"/>
      <c r="F36" s="237"/>
      <c r="G36" s="237"/>
      <c r="H36" s="234"/>
    </row>
    <row r="37" spans="2:10" s="141" customFormat="1" x14ac:dyDescent="0.2">
      <c r="B37" s="243"/>
      <c r="C37" s="119"/>
      <c r="D37" s="119"/>
      <c r="E37" s="658" t="str">
        <f>E7</f>
        <v>FY20</v>
      </c>
      <c r="F37" s="658" t="str">
        <f>F7</f>
        <v>FY20</v>
      </c>
      <c r="G37" s="658" t="str">
        <f>G7</f>
        <v>FY21</v>
      </c>
      <c r="H37" s="234"/>
    </row>
    <row r="38" spans="2:10" s="141" customFormat="1" x14ac:dyDescent="0.2">
      <c r="B38" s="243" t="s">
        <v>178</v>
      </c>
      <c r="C38" s="119"/>
      <c r="D38" s="119"/>
      <c r="E38" s="657" t="str">
        <f>E8</f>
        <v>FINAL</v>
      </c>
      <c r="F38" s="657" t="str">
        <f t="shared" ref="F38:G38" si="1">F8</f>
        <v>REVISED</v>
      </c>
      <c r="G38" s="666" t="str">
        <f t="shared" si="1"/>
        <v>TENATIVE</v>
      </c>
      <c r="H38" s="234"/>
    </row>
    <row r="39" spans="2:10" s="141" customFormat="1" x14ac:dyDescent="0.2">
      <c r="B39" s="244" t="s">
        <v>250</v>
      </c>
      <c r="C39" s="119"/>
      <c r="D39" s="119"/>
      <c r="E39" s="605">
        <f>E34/(E29-E27)*365</f>
        <v>94.149719822641259</v>
      </c>
      <c r="F39" s="605">
        <f>F34/(F29-F27)*365</f>
        <v>48.013202417067873</v>
      </c>
      <c r="G39" s="605">
        <f>G34/(G29-G27)*365</f>
        <v>115.08339132807249</v>
      </c>
      <c r="H39" s="234"/>
      <c r="J39" s="141" t="s">
        <v>365</v>
      </c>
    </row>
    <row r="40" spans="2:10" s="141" customFormat="1" x14ac:dyDescent="0.2">
      <c r="B40" s="244" t="s">
        <v>179</v>
      </c>
      <c r="C40" s="119" t="s">
        <v>580</v>
      </c>
      <c r="D40" s="119"/>
      <c r="E40" s="665">
        <v>350</v>
      </c>
      <c r="F40" s="665">
        <v>275</v>
      </c>
      <c r="G40" s="665">
        <v>275</v>
      </c>
      <c r="H40" s="234"/>
      <c r="I40" s="234"/>
      <c r="J40" s="141" t="s">
        <v>366</v>
      </c>
    </row>
    <row r="41" spans="2:10" s="141" customFormat="1" x14ac:dyDescent="0.2">
      <c r="B41" s="244" t="s">
        <v>179</v>
      </c>
      <c r="C41" s="119"/>
      <c r="D41" s="119"/>
      <c r="E41" s="602">
        <f>E9/E40</f>
        <v>0.66</v>
      </c>
      <c r="F41" s="602">
        <f t="shared" ref="F41:G41" si="2">F9/F40</f>
        <v>1.24</v>
      </c>
      <c r="G41" s="602">
        <f t="shared" si="2"/>
        <v>0.98181818181818181</v>
      </c>
      <c r="H41" s="234"/>
      <c r="I41" s="234"/>
      <c r="J41" s="141" t="s">
        <v>366</v>
      </c>
    </row>
    <row r="42" spans="2:10" s="141" customFormat="1" x14ac:dyDescent="0.2">
      <c r="B42" s="244" t="s">
        <v>180</v>
      </c>
      <c r="C42" s="119"/>
      <c r="D42" s="119"/>
      <c r="E42" s="604">
        <f>E31/E16</f>
        <v>0.15068390603141385</v>
      </c>
      <c r="F42" s="606">
        <f>F31/F16</f>
        <v>6.4999402748006696E-2</v>
      </c>
      <c r="G42" s="604">
        <f>G31/G16</f>
        <v>6.0254702755344912E-2</v>
      </c>
      <c r="H42" s="234"/>
      <c r="I42" s="234"/>
      <c r="J42" s="141" t="s">
        <v>366</v>
      </c>
    </row>
    <row r="43" spans="2:10" s="141" customFormat="1" x14ac:dyDescent="0.2">
      <c r="B43" s="244" t="s">
        <v>181</v>
      </c>
      <c r="C43" s="119"/>
      <c r="D43" s="119"/>
      <c r="E43" s="601" t="s">
        <v>346</v>
      </c>
      <c r="F43" s="607" t="s">
        <v>346</v>
      </c>
      <c r="G43" s="601" t="s">
        <v>346</v>
      </c>
      <c r="H43" s="234"/>
      <c r="I43" s="234"/>
      <c r="J43" s="141" t="s">
        <v>367</v>
      </c>
    </row>
    <row r="44" spans="2:10" s="141" customFormat="1" x14ac:dyDescent="0.2">
      <c r="B44" s="244" t="s">
        <v>182</v>
      </c>
      <c r="C44" s="119"/>
      <c r="D44" s="119"/>
      <c r="E44" s="601" t="s">
        <v>346</v>
      </c>
      <c r="F44" s="607" t="s">
        <v>346</v>
      </c>
      <c r="G44" s="601" t="s">
        <v>346</v>
      </c>
      <c r="H44" s="234"/>
      <c r="I44" s="234"/>
      <c r="J44" s="141" t="s">
        <v>368</v>
      </c>
    </row>
    <row r="45" spans="2:10" ht="5.0999999999999996" customHeight="1" x14ac:dyDescent="0.2">
      <c r="E45" s="608"/>
      <c r="F45" s="150"/>
      <c r="G45" s="150"/>
      <c r="H45" s="234"/>
    </row>
    <row r="46" spans="2:10" ht="5.0999999999999996" customHeight="1" x14ac:dyDescent="0.2">
      <c r="E46" s="234"/>
      <c r="F46" s="234"/>
      <c r="G46" s="234"/>
      <c r="H46" s="234"/>
    </row>
    <row r="47" spans="2:10" ht="5.0999999999999996" customHeight="1" x14ac:dyDescent="0.2">
      <c r="E47" s="234"/>
      <c r="F47" s="234"/>
      <c r="G47" s="234"/>
      <c r="H47" s="234"/>
    </row>
    <row r="48" spans="2:10" ht="15" customHeight="1" x14ac:dyDescent="0.2">
      <c r="E48" s="234"/>
      <c r="F48" s="234"/>
      <c r="G48" s="234"/>
      <c r="H48" s="234"/>
    </row>
    <row r="56" spans="3:4" x14ac:dyDescent="0.2">
      <c r="C56" s="151"/>
      <c r="D56" s="151"/>
    </row>
    <row r="57" spans="3:4" x14ac:dyDescent="0.2">
      <c r="C57" s="151"/>
      <c r="D57" s="151"/>
    </row>
    <row r="58" spans="3:4" x14ac:dyDescent="0.2">
      <c r="C58" s="151"/>
      <c r="D58" s="151"/>
    </row>
    <row r="59" spans="3:4" x14ac:dyDescent="0.2">
      <c r="C59" s="151"/>
      <c r="D59" s="151"/>
    </row>
    <row r="60" spans="3:4" x14ac:dyDescent="0.2">
      <c r="C60" s="151"/>
      <c r="D60" s="151"/>
    </row>
    <row r="61" spans="3:4" ht="5.0999999999999996" customHeight="1" x14ac:dyDescent="0.2"/>
  </sheetData>
  <sheetProtection algorithmName="SHA-512" hashValue="VmMYe0sC/ZHQtQDCpVxC20xpZezfPjjLRDQoAjCkQT1WC/fE+tjbf1ifhc99HxUkx75tTXUmzouvianA6DEN8w==" saltValue="ZpvkdKPKkmP3YpM/+agDtw==" spinCount="100000" sheet="1" objects="1" scenarios="1" selectLockedCells="1"/>
  <mergeCells count="1">
    <mergeCell ref="H7:H8"/>
  </mergeCells>
  <printOptions horizontalCentered="1"/>
  <pageMargins left="0.3" right="0.2" top="0.35" bottom="0.2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D90"/>
  <sheetViews>
    <sheetView workbookViewId="0">
      <selection activeCell="D22" sqref="D22"/>
    </sheetView>
  </sheetViews>
  <sheetFormatPr defaultRowHeight="15" x14ac:dyDescent="0.25"/>
  <cols>
    <col min="1" max="1" width="9.140625" style="578"/>
    <col min="4" max="4" width="106.5703125" customWidth="1"/>
  </cols>
  <sheetData>
    <row r="1" spans="1:4" x14ac:dyDescent="0.25">
      <c r="B1" t="s">
        <v>398</v>
      </c>
    </row>
    <row r="2" spans="1:4" x14ac:dyDescent="0.25">
      <c r="A2" s="578" t="s">
        <v>399</v>
      </c>
      <c r="B2" t="s">
        <v>400</v>
      </c>
    </row>
    <row r="3" spans="1:4" x14ac:dyDescent="0.25">
      <c r="B3" s="578" t="s">
        <v>401</v>
      </c>
      <c r="C3" t="s">
        <v>402</v>
      </c>
    </row>
    <row r="4" spans="1:4" x14ac:dyDescent="0.25">
      <c r="B4" s="578" t="s">
        <v>403</v>
      </c>
      <c r="C4" t="s">
        <v>404</v>
      </c>
    </row>
    <row r="5" spans="1:4" x14ac:dyDescent="0.25">
      <c r="B5" s="578" t="s">
        <v>405</v>
      </c>
      <c r="C5" t="s">
        <v>406</v>
      </c>
    </row>
    <row r="6" spans="1:4" x14ac:dyDescent="0.25">
      <c r="B6" s="578" t="s">
        <v>407</v>
      </c>
      <c r="C6" t="s">
        <v>408</v>
      </c>
    </row>
    <row r="7" spans="1:4" x14ac:dyDescent="0.25">
      <c r="B7" t="s">
        <v>409</v>
      </c>
      <c r="C7" t="s">
        <v>410</v>
      </c>
    </row>
    <row r="8" spans="1:4" x14ac:dyDescent="0.25">
      <c r="A8" s="578" t="s">
        <v>411</v>
      </c>
      <c r="B8" t="s">
        <v>412</v>
      </c>
    </row>
    <row r="9" spans="1:4" x14ac:dyDescent="0.25">
      <c r="B9" s="578" t="s">
        <v>401</v>
      </c>
      <c r="C9" t="s">
        <v>413</v>
      </c>
    </row>
    <row r="10" spans="1:4" x14ac:dyDescent="0.25">
      <c r="B10" s="578" t="s">
        <v>403</v>
      </c>
      <c r="C10" t="s">
        <v>414</v>
      </c>
    </row>
    <row r="11" spans="1:4" x14ac:dyDescent="0.25">
      <c r="A11" s="578" t="s">
        <v>415</v>
      </c>
      <c r="B11" t="s">
        <v>416</v>
      </c>
    </row>
    <row r="12" spans="1:4" x14ac:dyDescent="0.25">
      <c r="B12" s="578" t="s">
        <v>401</v>
      </c>
      <c r="C12" t="s">
        <v>417</v>
      </c>
    </row>
    <row r="13" spans="1:4" x14ac:dyDescent="0.25">
      <c r="B13" s="578" t="s">
        <v>403</v>
      </c>
      <c r="C13" t="s">
        <v>418</v>
      </c>
    </row>
    <row r="14" spans="1:4" x14ac:dyDescent="0.25">
      <c r="C14" s="578">
        <v>1</v>
      </c>
      <c r="D14" t="s">
        <v>419</v>
      </c>
    </row>
    <row r="15" spans="1:4" x14ac:dyDescent="0.25">
      <c r="C15" s="578"/>
      <c r="D15" t="s">
        <v>420</v>
      </c>
    </row>
    <row r="16" spans="1:4" x14ac:dyDescent="0.25">
      <c r="C16" s="578">
        <v>2</v>
      </c>
      <c r="D16" t="s">
        <v>421</v>
      </c>
    </row>
    <row r="17" spans="1:4" x14ac:dyDescent="0.25">
      <c r="C17" s="578">
        <v>3</v>
      </c>
      <c r="D17" t="s">
        <v>422</v>
      </c>
    </row>
    <row r="18" spans="1:4" x14ac:dyDescent="0.25">
      <c r="C18" s="578">
        <v>4</v>
      </c>
      <c r="D18" t="s">
        <v>423</v>
      </c>
    </row>
    <row r="19" spans="1:4" x14ac:dyDescent="0.25">
      <c r="C19" s="578">
        <v>5</v>
      </c>
      <c r="D19" t="s">
        <v>424</v>
      </c>
    </row>
    <row r="20" spans="1:4" x14ac:dyDescent="0.25">
      <c r="D20" t="s">
        <v>425</v>
      </c>
    </row>
    <row r="21" spans="1:4" x14ac:dyDescent="0.25">
      <c r="D21" t="s">
        <v>426</v>
      </c>
    </row>
    <row r="22" spans="1:4" x14ac:dyDescent="0.25">
      <c r="A22" s="578" t="s">
        <v>427</v>
      </c>
      <c r="B22" t="s">
        <v>428</v>
      </c>
    </row>
    <row r="23" spans="1:4" x14ac:dyDescent="0.25">
      <c r="B23" s="578" t="s">
        <v>401</v>
      </c>
      <c r="C23" t="s">
        <v>429</v>
      </c>
    </row>
    <row r="24" spans="1:4" x14ac:dyDescent="0.25">
      <c r="B24" s="578" t="s">
        <v>403</v>
      </c>
      <c r="C24" t="s">
        <v>430</v>
      </c>
    </row>
    <row r="25" spans="1:4" x14ac:dyDescent="0.25">
      <c r="B25" s="578"/>
      <c r="C25" t="s">
        <v>431</v>
      </c>
    </row>
    <row r="26" spans="1:4" x14ac:dyDescent="0.25">
      <c r="B26" s="578" t="s">
        <v>432</v>
      </c>
      <c r="C26" t="s">
        <v>433</v>
      </c>
    </row>
    <row r="27" spans="1:4" x14ac:dyDescent="0.25">
      <c r="B27" s="578"/>
      <c r="C27" s="578">
        <v>1</v>
      </c>
      <c r="D27" t="s">
        <v>434</v>
      </c>
    </row>
    <row r="28" spans="1:4" x14ac:dyDescent="0.25">
      <c r="B28" s="578"/>
      <c r="C28" s="578">
        <v>2</v>
      </c>
      <c r="D28" t="s">
        <v>435</v>
      </c>
    </row>
    <row r="29" spans="1:4" x14ac:dyDescent="0.25">
      <c r="B29" s="578"/>
      <c r="C29" s="578">
        <v>3</v>
      </c>
      <c r="D29" t="s">
        <v>436</v>
      </c>
    </row>
    <row r="30" spans="1:4" x14ac:dyDescent="0.25">
      <c r="B30" s="578"/>
      <c r="C30" s="578">
        <v>4</v>
      </c>
      <c r="D30" t="s">
        <v>437</v>
      </c>
    </row>
    <row r="31" spans="1:4" x14ac:dyDescent="0.25">
      <c r="B31" s="578"/>
      <c r="C31" s="578">
        <v>5</v>
      </c>
      <c r="D31" t="s">
        <v>438</v>
      </c>
    </row>
    <row r="32" spans="1:4" x14ac:dyDescent="0.25">
      <c r="B32" s="578" t="s">
        <v>407</v>
      </c>
      <c r="C32" t="s">
        <v>439</v>
      </c>
    </row>
    <row r="33" spans="2:4" x14ac:dyDescent="0.25">
      <c r="B33" s="578"/>
      <c r="D33" t="s">
        <v>440</v>
      </c>
    </row>
    <row r="34" spans="2:4" x14ac:dyDescent="0.25">
      <c r="B34" s="578" t="s">
        <v>441</v>
      </c>
      <c r="C34" t="s">
        <v>442</v>
      </c>
    </row>
    <row r="35" spans="2:4" x14ac:dyDescent="0.25">
      <c r="B35" s="578"/>
      <c r="D35" t="s">
        <v>440</v>
      </c>
    </row>
    <row r="36" spans="2:4" x14ac:dyDescent="0.25">
      <c r="B36" s="578" t="s">
        <v>443</v>
      </c>
      <c r="C36" t="s">
        <v>444</v>
      </c>
    </row>
    <row r="37" spans="2:4" x14ac:dyDescent="0.25">
      <c r="B37" s="578"/>
      <c r="D37" t="s">
        <v>445</v>
      </c>
    </row>
    <row r="38" spans="2:4" x14ac:dyDescent="0.25">
      <c r="B38" s="578"/>
      <c r="D38" t="s">
        <v>446</v>
      </c>
    </row>
    <row r="39" spans="2:4" x14ac:dyDescent="0.25">
      <c r="B39" s="578"/>
      <c r="D39" t="s">
        <v>447</v>
      </c>
    </row>
    <row r="40" spans="2:4" x14ac:dyDescent="0.25">
      <c r="B40" s="578" t="s">
        <v>448</v>
      </c>
      <c r="C40" t="s">
        <v>449</v>
      </c>
    </row>
    <row r="41" spans="2:4" x14ac:dyDescent="0.25">
      <c r="B41" s="578"/>
      <c r="C41" s="578">
        <v>1</v>
      </c>
      <c r="D41" t="s">
        <v>450</v>
      </c>
    </row>
    <row r="42" spans="2:4" x14ac:dyDescent="0.25">
      <c r="B42" s="578"/>
      <c r="C42" s="578">
        <v>2</v>
      </c>
      <c r="D42" t="s">
        <v>451</v>
      </c>
    </row>
    <row r="43" spans="2:4" x14ac:dyDescent="0.25">
      <c r="B43" s="578"/>
      <c r="C43" s="578"/>
      <c r="D43" t="s">
        <v>452</v>
      </c>
    </row>
    <row r="44" spans="2:4" x14ac:dyDescent="0.25">
      <c r="B44" s="578"/>
      <c r="C44" s="578">
        <v>3</v>
      </c>
      <c r="D44" t="s">
        <v>453</v>
      </c>
    </row>
    <row r="45" spans="2:4" x14ac:dyDescent="0.25">
      <c r="B45" s="578"/>
      <c r="D45" t="s">
        <v>454</v>
      </c>
    </row>
    <row r="46" spans="2:4" x14ac:dyDescent="0.25">
      <c r="B46" s="578" t="s">
        <v>455</v>
      </c>
      <c r="C46" t="s">
        <v>456</v>
      </c>
    </row>
    <row r="47" spans="2:4" x14ac:dyDescent="0.25">
      <c r="B47" s="578"/>
      <c r="D47" t="s">
        <v>440</v>
      </c>
    </row>
    <row r="48" spans="2:4" x14ac:dyDescent="0.25">
      <c r="B48" s="578" t="s">
        <v>399</v>
      </c>
      <c r="C48" t="s">
        <v>457</v>
      </c>
    </row>
    <row r="49" spans="1:4" x14ac:dyDescent="0.25">
      <c r="B49" s="578" t="s">
        <v>458</v>
      </c>
      <c r="C49" t="s">
        <v>459</v>
      </c>
    </row>
    <row r="50" spans="1:4" x14ac:dyDescent="0.25">
      <c r="B50" s="578"/>
      <c r="C50" s="578">
        <v>1</v>
      </c>
      <c r="D50" t="s">
        <v>460</v>
      </c>
    </row>
    <row r="51" spans="1:4" x14ac:dyDescent="0.25">
      <c r="B51" s="578"/>
      <c r="C51" s="578">
        <v>2</v>
      </c>
      <c r="D51" t="s">
        <v>461</v>
      </c>
    </row>
    <row r="52" spans="1:4" x14ac:dyDescent="0.25">
      <c r="B52" s="578" t="s">
        <v>64</v>
      </c>
      <c r="C52" t="s">
        <v>462</v>
      </c>
    </row>
    <row r="53" spans="1:4" x14ac:dyDescent="0.25">
      <c r="B53" s="578"/>
      <c r="D53" t="s">
        <v>440</v>
      </c>
    </row>
    <row r="54" spans="1:4" x14ac:dyDescent="0.25">
      <c r="B54" s="578" t="s">
        <v>463</v>
      </c>
      <c r="C54" t="s">
        <v>464</v>
      </c>
    </row>
    <row r="55" spans="1:4" x14ac:dyDescent="0.25">
      <c r="B55" s="578"/>
      <c r="D55" t="s">
        <v>440</v>
      </c>
    </row>
    <row r="56" spans="1:4" x14ac:dyDescent="0.25">
      <c r="B56" s="578" t="s">
        <v>465</v>
      </c>
      <c r="C56" t="s">
        <v>466</v>
      </c>
    </row>
    <row r="57" spans="1:4" x14ac:dyDescent="0.25">
      <c r="A57" s="578" t="s">
        <v>467</v>
      </c>
      <c r="B57" s="579" t="s">
        <v>468</v>
      </c>
    </row>
    <row r="58" spans="1:4" x14ac:dyDescent="0.25">
      <c r="B58" s="579" t="s">
        <v>469</v>
      </c>
    </row>
    <row r="59" spans="1:4" x14ac:dyDescent="0.25">
      <c r="B59" s="578" t="s">
        <v>401</v>
      </c>
      <c r="C59" t="s">
        <v>470</v>
      </c>
    </row>
    <row r="60" spans="1:4" x14ac:dyDescent="0.25">
      <c r="B60" s="578" t="s">
        <v>403</v>
      </c>
      <c r="C60" t="s">
        <v>471</v>
      </c>
    </row>
    <row r="61" spans="1:4" x14ac:dyDescent="0.25">
      <c r="B61" s="578" t="s">
        <v>432</v>
      </c>
      <c r="C61" t="s">
        <v>472</v>
      </c>
    </row>
    <row r="62" spans="1:4" x14ac:dyDescent="0.25">
      <c r="B62" s="578" t="s">
        <v>407</v>
      </c>
      <c r="C62" t="s">
        <v>473</v>
      </c>
    </row>
    <row r="63" spans="1:4" x14ac:dyDescent="0.25">
      <c r="B63" s="578" t="s">
        <v>441</v>
      </c>
      <c r="C63" t="s">
        <v>474</v>
      </c>
    </row>
    <row r="64" spans="1:4" x14ac:dyDescent="0.25">
      <c r="B64" s="578" t="s">
        <v>443</v>
      </c>
      <c r="C64" t="s">
        <v>475</v>
      </c>
    </row>
    <row r="65" spans="1:4" x14ac:dyDescent="0.25">
      <c r="C65" t="s">
        <v>476</v>
      </c>
    </row>
    <row r="66" spans="1:4" x14ac:dyDescent="0.25">
      <c r="A66" s="578" t="s">
        <v>477</v>
      </c>
      <c r="B66" s="579" t="s">
        <v>478</v>
      </c>
    </row>
    <row r="67" spans="1:4" x14ac:dyDescent="0.25">
      <c r="B67" s="579" t="s">
        <v>479</v>
      </c>
    </row>
    <row r="68" spans="1:4" x14ac:dyDescent="0.25">
      <c r="B68" s="578" t="s">
        <v>401</v>
      </c>
      <c r="C68" t="s">
        <v>480</v>
      </c>
    </row>
    <row r="69" spans="1:4" x14ac:dyDescent="0.25">
      <c r="C69" t="s">
        <v>481</v>
      </c>
    </row>
    <row r="70" spans="1:4" x14ac:dyDescent="0.25">
      <c r="C70" t="s">
        <v>482</v>
      </c>
    </row>
    <row r="71" spans="1:4" x14ac:dyDescent="0.25">
      <c r="A71" s="578" t="s">
        <v>483</v>
      </c>
      <c r="B71" t="s">
        <v>484</v>
      </c>
    </row>
    <row r="72" spans="1:4" x14ac:dyDescent="0.25">
      <c r="B72" t="s">
        <v>401</v>
      </c>
      <c r="C72" t="s">
        <v>485</v>
      </c>
    </row>
    <row r="73" spans="1:4" x14ac:dyDescent="0.25">
      <c r="C73">
        <v>1</v>
      </c>
      <c r="D73" t="s">
        <v>486</v>
      </c>
    </row>
    <row r="74" spans="1:4" x14ac:dyDescent="0.25">
      <c r="C74">
        <v>2</v>
      </c>
      <c r="D74" t="s">
        <v>487</v>
      </c>
    </row>
    <row r="75" spans="1:4" x14ac:dyDescent="0.25">
      <c r="C75">
        <v>3</v>
      </c>
      <c r="D75" t="s">
        <v>488</v>
      </c>
    </row>
    <row r="76" spans="1:4" x14ac:dyDescent="0.25">
      <c r="A76" s="578" t="s">
        <v>489</v>
      </c>
      <c r="B76" t="s">
        <v>490</v>
      </c>
    </row>
    <row r="77" spans="1:4" x14ac:dyDescent="0.25">
      <c r="B77" t="s">
        <v>401</v>
      </c>
      <c r="C77" t="s">
        <v>491</v>
      </c>
    </row>
    <row r="78" spans="1:4" x14ac:dyDescent="0.25">
      <c r="B78" t="s">
        <v>403</v>
      </c>
      <c r="C78" t="s">
        <v>492</v>
      </c>
    </row>
    <row r="79" spans="1:4" x14ac:dyDescent="0.25">
      <c r="B79" t="s">
        <v>432</v>
      </c>
      <c r="C79" t="s">
        <v>493</v>
      </c>
    </row>
    <row r="80" spans="1:4" x14ac:dyDescent="0.25">
      <c r="A80" s="578" t="s">
        <v>494</v>
      </c>
      <c r="B80" t="s">
        <v>495</v>
      </c>
    </row>
    <row r="81" spans="1:3" x14ac:dyDescent="0.25">
      <c r="B81" t="s">
        <v>401</v>
      </c>
      <c r="C81" t="s">
        <v>496</v>
      </c>
    </row>
    <row r="82" spans="1:3" x14ac:dyDescent="0.25">
      <c r="B82" t="s">
        <v>403</v>
      </c>
      <c r="C82" t="s">
        <v>497</v>
      </c>
    </row>
    <row r="83" spans="1:3" x14ac:dyDescent="0.25">
      <c r="B83" t="s">
        <v>432</v>
      </c>
      <c r="C83" t="s">
        <v>498</v>
      </c>
    </row>
    <row r="84" spans="1:3" x14ac:dyDescent="0.25">
      <c r="C84" t="s">
        <v>499</v>
      </c>
    </row>
    <row r="85" spans="1:3" x14ac:dyDescent="0.25">
      <c r="A85" s="578" t="s">
        <v>500</v>
      </c>
      <c r="B85" t="s">
        <v>501</v>
      </c>
    </row>
    <row r="86" spans="1:3" x14ac:dyDescent="0.25">
      <c r="B86" t="s">
        <v>401</v>
      </c>
      <c r="C86" t="s">
        <v>502</v>
      </c>
    </row>
    <row r="87" spans="1:3" x14ac:dyDescent="0.25">
      <c r="B87" t="s">
        <v>503</v>
      </c>
      <c r="C87" t="s">
        <v>504</v>
      </c>
    </row>
    <row r="88" spans="1:3" x14ac:dyDescent="0.25">
      <c r="C88" t="s">
        <v>505</v>
      </c>
    </row>
    <row r="89" spans="1:3" x14ac:dyDescent="0.25">
      <c r="A89" s="578" t="s">
        <v>506</v>
      </c>
      <c r="B89" t="s">
        <v>291</v>
      </c>
    </row>
    <row r="90" spans="1:3" x14ac:dyDescent="0.25">
      <c r="B90" t="s">
        <v>401</v>
      </c>
      <c r="C90" t="s">
        <v>507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  <pageSetUpPr fitToPage="1"/>
  </sheetPr>
  <dimension ref="A1:AH70"/>
  <sheetViews>
    <sheetView workbookViewId="0">
      <selection sqref="A1:XFD1048576"/>
    </sheetView>
  </sheetViews>
  <sheetFormatPr defaultColWidth="9.140625" defaultRowHeight="15" x14ac:dyDescent="0.25"/>
  <cols>
    <col min="1" max="1" width="2.140625" style="428" customWidth="1"/>
    <col min="2" max="2" width="4" style="428" customWidth="1"/>
    <col min="3" max="3" width="30.7109375" style="428" customWidth="1"/>
    <col min="4" max="4" width="9.140625" style="428"/>
    <col min="5" max="5" width="1.140625" style="428" customWidth="1"/>
    <col min="6" max="6" width="11.140625" style="428" bestFit="1" customWidth="1"/>
    <col min="7" max="7" width="1.140625" style="429" customWidth="1"/>
    <col min="8" max="8" width="10.7109375" style="428" bestFit="1" customWidth="1"/>
    <col min="9" max="9" width="1.140625" style="429" customWidth="1"/>
    <col min="10" max="10" width="12" style="428" bestFit="1" customWidth="1"/>
    <col min="11" max="11" width="1.140625" style="429" customWidth="1"/>
    <col min="12" max="12" width="9.85546875" style="428" bestFit="1" customWidth="1"/>
    <col min="13" max="13" width="1.140625" style="429" customWidth="1"/>
    <col min="14" max="14" width="9.85546875" style="428" bestFit="1" customWidth="1"/>
    <col min="15" max="15" width="4.42578125" style="428" customWidth="1"/>
    <col min="16" max="16" width="9.140625" style="428"/>
    <col min="17" max="28" width="5.7109375" style="428" customWidth="1"/>
    <col min="29" max="31" width="9.140625" style="428"/>
    <col min="32" max="32" width="10.7109375" style="428" bestFit="1" customWidth="1"/>
    <col min="33" max="16384" width="9.140625" style="428"/>
  </cols>
  <sheetData>
    <row r="1" spans="1:31" s="386" customFormat="1" ht="21" x14ac:dyDescent="0.35">
      <c r="A1" s="385" t="str">
        <f>'Rev &amp; Enroll'!$F$5</f>
        <v>Nevada State High School (Henderson)</v>
      </c>
      <c r="B1" s="385"/>
      <c r="D1" s="388"/>
      <c r="E1" s="388"/>
      <c r="G1" s="387"/>
      <c r="H1" s="388"/>
      <c r="I1" s="389"/>
      <c r="J1" s="388"/>
      <c r="K1" s="389"/>
      <c r="L1" s="388"/>
      <c r="M1" s="389"/>
      <c r="N1" s="388"/>
      <c r="O1" s="388"/>
      <c r="P1" s="388"/>
      <c r="Q1" s="388"/>
      <c r="R1" s="388"/>
      <c r="S1" s="390"/>
      <c r="T1" s="390"/>
      <c r="U1" s="390"/>
      <c r="V1" s="390"/>
      <c r="W1" s="390"/>
      <c r="X1" s="390"/>
      <c r="Y1" s="390"/>
      <c r="Z1" s="390"/>
      <c r="AA1" s="388"/>
      <c r="AB1" s="388"/>
      <c r="AD1" s="388"/>
      <c r="AE1" s="388"/>
    </row>
    <row r="2" spans="1:31" s="386" customFormat="1" x14ac:dyDescent="0.25">
      <c r="A2" s="391" t="s">
        <v>60</v>
      </c>
      <c r="B2" s="391"/>
      <c r="C2" s="392"/>
      <c r="D2" s="388"/>
      <c r="E2" s="388"/>
      <c r="F2" s="392"/>
      <c r="G2" s="393"/>
      <c r="H2" s="388"/>
      <c r="I2" s="389"/>
      <c r="J2" s="388"/>
      <c r="K2" s="389"/>
      <c r="L2" s="388"/>
      <c r="M2" s="389"/>
      <c r="N2" s="388"/>
      <c r="O2" s="388"/>
      <c r="P2" s="388"/>
      <c r="S2" s="388"/>
      <c r="T2" s="388"/>
      <c r="U2" s="388"/>
      <c r="X2" s="388"/>
      <c r="Y2" s="388"/>
      <c r="AA2" s="394"/>
      <c r="AB2" s="394"/>
      <c r="AD2" s="394"/>
      <c r="AE2" s="394"/>
    </row>
    <row r="3" spans="1:31" s="396" customFormat="1" ht="13.5" customHeight="1" x14ac:dyDescent="0.2">
      <c r="A3" s="395" t="str">
        <f>'FY21'!A3</f>
        <v>Board Approved: Proposed: 4/16/2020</v>
      </c>
      <c r="B3" s="395"/>
      <c r="C3" s="386"/>
      <c r="D3" s="398"/>
      <c r="E3" s="398"/>
      <c r="G3" s="397"/>
      <c r="H3" s="398"/>
      <c r="I3" s="399"/>
      <c r="J3" s="398"/>
      <c r="K3" s="399"/>
      <c r="L3" s="398"/>
      <c r="M3" s="399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88"/>
      <c r="Y3" s="398"/>
      <c r="Z3" s="400"/>
      <c r="AA3" s="398"/>
      <c r="AB3" s="398"/>
      <c r="AD3" s="398"/>
      <c r="AE3" s="398"/>
    </row>
    <row r="4" spans="1:31" s="305" customFormat="1" ht="12" x14ac:dyDescent="0.2">
      <c r="G4" s="309"/>
      <c r="I4" s="309"/>
      <c r="K4" s="309"/>
      <c r="M4" s="309"/>
    </row>
    <row r="5" spans="1:31" s="305" customFormat="1" ht="12" x14ac:dyDescent="0.2">
      <c r="C5" s="401" t="s">
        <v>61</v>
      </c>
      <c r="F5" s="697" t="s">
        <v>547</v>
      </c>
      <c r="G5" s="698"/>
      <c r="H5" s="698"/>
      <c r="I5" s="698"/>
      <c r="J5" s="698"/>
      <c r="K5" s="698"/>
      <c r="L5" s="698"/>
      <c r="M5" s="698"/>
      <c r="N5" s="699"/>
    </row>
    <row r="6" spans="1:31" s="305" customFormat="1" ht="12" x14ac:dyDescent="0.2">
      <c r="G6" s="309"/>
      <c r="I6" s="309"/>
      <c r="K6" s="309"/>
      <c r="M6" s="309"/>
    </row>
    <row r="7" spans="1:31" s="402" customFormat="1" ht="12.75" thickBot="1" x14ac:dyDescent="0.3">
      <c r="F7" s="659" t="s">
        <v>67</v>
      </c>
      <c r="G7" s="402">
        <v>0</v>
      </c>
      <c r="H7" s="659" t="s">
        <v>68</v>
      </c>
      <c r="I7" s="402">
        <v>0</v>
      </c>
      <c r="J7" s="659" t="s">
        <v>69</v>
      </c>
      <c r="K7" s="402">
        <v>0</v>
      </c>
      <c r="L7" s="659" t="s">
        <v>70</v>
      </c>
      <c r="M7" s="402">
        <v>0</v>
      </c>
      <c r="N7" s="659" t="s">
        <v>369</v>
      </c>
    </row>
    <row r="8" spans="1:31" s="305" customFormat="1" ht="12.75" thickBot="1" x14ac:dyDescent="0.25">
      <c r="B8" s="700" t="s">
        <v>62</v>
      </c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2"/>
      <c r="Q8" s="700" t="s">
        <v>167</v>
      </c>
      <c r="R8" s="701"/>
      <c r="S8" s="701"/>
      <c r="T8" s="701"/>
      <c r="U8" s="701"/>
      <c r="V8" s="701"/>
      <c r="W8" s="701"/>
      <c r="X8" s="701"/>
      <c r="Y8" s="701"/>
      <c r="Z8" s="701"/>
      <c r="AA8" s="701"/>
      <c r="AB8" s="702"/>
    </row>
    <row r="9" spans="1:31" s="305" customFormat="1" ht="12" x14ac:dyDescent="0.2">
      <c r="C9" s="402" t="s">
        <v>65</v>
      </c>
      <c r="G9" s="309"/>
      <c r="I9" s="309"/>
      <c r="K9" s="309"/>
      <c r="M9" s="309"/>
      <c r="Q9" s="404" t="s">
        <v>155</v>
      </c>
      <c r="R9" s="404" t="s">
        <v>156</v>
      </c>
      <c r="S9" s="404" t="s">
        <v>157</v>
      </c>
      <c r="T9" s="404" t="s">
        <v>158</v>
      </c>
      <c r="U9" s="404" t="s">
        <v>159</v>
      </c>
      <c r="V9" s="404" t="s">
        <v>160</v>
      </c>
      <c r="W9" s="404" t="s">
        <v>161</v>
      </c>
      <c r="X9" s="404" t="s">
        <v>162</v>
      </c>
      <c r="Y9" s="404" t="s">
        <v>163</v>
      </c>
      <c r="Z9" s="404" t="s">
        <v>164</v>
      </c>
      <c r="AA9" s="404" t="s">
        <v>165</v>
      </c>
      <c r="AB9" s="404" t="s">
        <v>166</v>
      </c>
    </row>
    <row r="10" spans="1:31" s="305" customFormat="1" ht="12" hidden="1" x14ac:dyDescent="0.2">
      <c r="C10" s="405" t="s">
        <v>63</v>
      </c>
      <c r="F10" s="406">
        <v>0</v>
      </c>
      <c r="G10" s="406"/>
      <c r="H10" s="406">
        <v>0</v>
      </c>
      <c r="I10" s="406"/>
      <c r="J10" s="406">
        <v>0</v>
      </c>
      <c r="K10" s="406"/>
      <c r="L10" s="406">
        <v>0</v>
      </c>
      <c r="M10" s="406"/>
      <c r="N10" s="406">
        <v>0</v>
      </c>
      <c r="O10" s="407"/>
      <c r="Q10" s="408">
        <v>0</v>
      </c>
      <c r="R10" s="408">
        <v>0</v>
      </c>
      <c r="S10" s="408">
        <v>0</v>
      </c>
      <c r="T10" s="408">
        <v>0</v>
      </c>
      <c r="U10" s="408">
        <v>0</v>
      </c>
      <c r="V10" s="408">
        <v>0</v>
      </c>
      <c r="W10" s="408">
        <v>0</v>
      </c>
      <c r="X10" s="408">
        <v>0</v>
      </c>
      <c r="Y10" s="408">
        <v>0</v>
      </c>
      <c r="Z10" s="408">
        <v>0</v>
      </c>
      <c r="AA10" s="408">
        <v>0</v>
      </c>
      <c r="AB10" s="408">
        <v>0</v>
      </c>
    </row>
    <row r="11" spans="1:31" s="305" customFormat="1" ht="12" hidden="1" x14ac:dyDescent="0.2">
      <c r="C11" s="409" t="s">
        <v>64</v>
      </c>
      <c r="F11" s="410">
        <v>0</v>
      </c>
      <c r="G11" s="410"/>
      <c r="H11" s="410">
        <v>0</v>
      </c>
      <c r="I11" s="410"/>
      <c r="J11" s="410">
        <v>0</v>
      </c>
      <c r="K11" s="410"/>
      <c r="L11" s="410">
        <v>0</v>
      </c>
      <c r="M11" s="410"/>
      <c r="N11" s="410">
        <v>0</v>
      </c>
      <c r="O11" s="407"/>
      <c r="Q11" s="411">
        <v>0</v>
      </c>
      <c r="R11" s="411">
        <v>0</v>
      </c>
      <c r="S11" s="411">
        <v>0</v>
      </c>
      <c r="T11" s="411">
        <v>0</v>
      </c>
      <c r="U11" s="411">
        <v>0</v>
      </c>
      <c r="V11" s="411">
        <v>0</v>
      </c>
      <c r="W11" s="411">
        <v>0</v>
      </c>
      <c r="X11" s="411">
        <v>0</v>
      </c>
      <c r="Y11" s="411">
        <v>0</v>
      </c>
      <c r="Z11" s="411">
        <v>0</v>
      </c>
      <c r="AA11" s="411">
        <v>0</v>
      </c>
      <c r="AB11" s="411">
        <v>0</v>
      </c>
    </row>
    <row r="12" spans="1:31" s="305" customFormat="1" ht="12" hidden="1" x14ac:dyDescent="0.2">
      <c r="C12" s="405">
        <v>1</v>
      </c>
      <c r="F12" s="406">
        <v>0</v>
      </c>
      <c r="G12" s="406"/>
      <c r="H12" s="406">
        <v>0</v>
      </c>
      <c r="I12" s="406"/>
      <c r="J12" s="406">
        <v>0</v>
      </c>
      <c r="K12" s="406"/>
      <c r="L12" s="406">
        <v>0</v>
      </c>
      <c r="M12" s="406"/>
      <c r="N12" s="406">
        <v>0</v>
      </c>
      <c r="O12" s="407"/>
      <c r="Q12" s="408">
        <v>0</v>
      </c>
      <c r="R12" s="408">
        <v>0</v>
      </c>
      <c r="S12" s="408">
        <v>0</v>
      </c>
      <c r="T12" s="408">
        <v>0</v>
      </c>
      <c r="U12" s="408">
        <v>0</v>
      </c>
      <c r="V12" s="408">
        <v>0</v>
      </c>
      <c r="W12" s="408">
        <v>0</v>
      </c>
      <c r="X12" s="408">
        <v>0</v>
      </c>
      <c r="Y12" s="408">
        <v>0</v>
      </c>
      <c r="Z12" s="408">
        <v>0</v>
      </c>
      <c r="AA12" s="408">
        <v>0</v>
      </c>
      <c r="AB12" s="408">
        <v>0</v>
      </c>
    </row>
    <row r="13" spans="1:31" s="305" customFormat="1" ht="12" hidden="1" x14ac:dyDescent="0.2">
      <c r="C13" s="409">
        <v>2</v>
      </c>
      <c r="F13" s="410">
        <v>0</v>
      </c>
      <c r="G13" s="410"/>
      <c r="H13" s="410">
        <v>0</v>
      </c>
      <c r="I13" s="410"/>
      <c r="J13" s="410">
        <v>0</v>
      </c>
      <c r="K13" s="410"/>
      <c r="L13" s="410">
        <v>0</v>
      </c>
      <c r="M13" s="410"/>
      <c r="N13" s="410">
        <v>0</v>
      </c>
      <c r="O13" s="407"/>
      <c r="Q13" s="411">
        <v>0</v>
      </c>
      <c r="R13" s="411">
        <v>0</v>
      </c>
      <c r="S13" s="411">
        <v>0</v>
      </c>
      <c r="T13" s="411">
        <v>0</v>
      </c>
      <c r="U13" s="411">
        <v>0</v>
      </c>
      <c r="V13" s="411">
        <v>0</v>
      </c>
      <c r="W13" s="411">
        <v>0</v>
      </c>
      <c r="X13" s="411">
        <v>0</v>
      </c>
      <c r="Y13" s="411">
        <v>0</v>
      </c>
      <c r="Z13" s="411">
        <v>0</v>
      </c>
      <c r="AA13" s="411">
        <v>0</v>
      </c>
      <c r="AB13" s="411">
        <v>0</v>
      </c>
    </row>
    <row r="14" spans="1:31" s="305" customFormat="1" ht="12" hidden="1" x14ac:dyDescent="0.2">
      <c r="C14" s="405">
        <v>3</v>
      </c>
      <c r="F14" s="406">
        <v>0</v>
      </c>
      <c r="G14" s="406"/>
      <c r="H14" s="406">
        <v>0</v>
      </c>
      <c r="I14" s="406"/>
      <c r="J14" s="406">
        <v>0</v>
      </c>
      <c r="K14" s="406"/>
      <c r="L14" s="406">
        <v>0</v>
      </c>
      <c r="M14" s="406"/>
      <c r="N14" s="406">
        <v>0</v>
      </c>
      <c r="O14" s="407"/>
      <c r="Q14" s="408">
        <v>0</v>
      </c>
      <c r="R14" s="408">
        <v>0</v>
      </c>
      <c r="S14" s="408">
        <v>0</v>
      </c>
      <c r="T14" s="408">
        <v>0</v>
      </c>
      <c r="U14" s="408">
        <v>0</v>
      </c>
      <c r="V14" s="408">
        <v>0</v>
      </c>
      <c r="W14" s="408">
        <v>0</v>
      </c>
      <c r="X14" s="408">
        <v>0</v>
      </c>
      <c r="Y14" s="408">
        <v>0</v>
      </c>
      <c r="Z14" s="408">
        <v>0</v>
      </c>
      <c r="AA14" s="408">
        <v>0</v>
      </c>
      <c r="AB14" s="408">
        <v>0</v>
      </c>
    </row>
    <row r="15" spans="1:31" s="305" customFormat="1" ht="12" hidden="1" x14ac:dyDescent="0.2">
      <c r="C15" s="409">
        <v>4</v>
      </c>
      <c r="F15" s="410">
        <v>0</v>
      </c>
      <c r="G15" s="410"/>
      <c r="H15" s="410">
        <v>0</v>
      </c>
      <c r="I15" s="410"/>
      <c r="J15" s="410">
        <v>0</v>
      </c>
      <c r="K15" s="410"/>
      <c r="L15" s="410">
        <v>0</v>
      </c>
      <c r="M15" s="410"/>
      <c r="N15" s="410">
        <v>0</v>
      </c>
      <c r="O15" s="407"/>
      <c r="Q15" s="411">
        <v>0</v>
      </c>
      <c r="R15" s="411">
        <v>0</v>
      </c>
      <c r="S15" s="411">
        <v>0</v>
      </c>
      <c r="T15" s="411">
        <v>0</v>
      </c>
      <c r="U15" s="411">
        <v>0</v>
      </c>
      <c r="V15" s="411">
        <v>0</v>
      </c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</row>
    <row r="16" spans="1:31" s="305" customFormat="1" ht="12" hidden="1" x14ac:dyDescent="0.2">
      <c r="C16" s="405">
        <v>5</v>
      </c>
      <c r="F16" s="406">
        <v>0</v>
      </c>
      <c r="G16" s="406"/>
      <c r="H16" s="406">
        <v>0</v>
      </c>
      <c r="I16" s="406"/>
      <c r="J16" s="406">
        <v>0</v>
      </c>
      <c r="K16" s="406"/>
      <c r="L16" s="406">
        <v>0</v>
      </c>
      <c r="M16" s="406"/>
      <c r="N16" s="406">
        <v>0</v>
      </c>
      <c r="O16" s="407"/>
      <c r="Q16" s="408">
        <v>0</v>
      </c>
      <c r="R16" s="408">
        <v>0</v>
      </c>
      <c r="S16" s="408">
        <v>0</v>
      </c>
      <c r="T16" s="408">
        <v>0</v>
      </c>
      <c r="U16" s="408">
        <v>0</v>
      </c>
      <c r="V16" s="408">
        <v>0</v>
      </c>
      <c r="W16" s="408">
        <v>0</v>
      </c>
      <c r="X16" s="408">
        <v>0</v>
      </c>
      <c r="Y16" s="408">
        <v>0</v>
      </c>
      <c r="Z16" s="408">
        <v>0</v>
      </c>
      <c r="AA16" s="408">
        <v>0</v>
      </c>
      <c r="AB16" s="408">
        <v>0</v>
      </c>
    </row>
    <row r="17" spans="2:28" s="305" customFormat="1" ht="12" hidden="1" x14ac:dyDescent="0.2">
      <c r="C17" s="409">
        <v>6</v>
      </c>
      <c r="F17" s="410">
        <v>0</v>
      </c>
      <c r="G17" s="410"/>
      <c r="H17" s="410">
        <v>0</v>
      </c>
      <c r="I17" s="410"/>
      <c r="J17" s="410">
        <v>0</v>
      </c>
      <c r="K17" s="410"/>
      <c r="L17" s="410">
        <v>0</v>
      </c>
      <c r="M17" s="410"/>
      <c r="N17" s="410">
        <v>0</v>
      </c>
      <c r="O17" s="407"/>
      <c r="Q17" s="411">
        <v>0</v>
      </c>
      <c r="R17" s="411">
        <v>0</v>
      </c>
      <c r="S17" s="411">
        <v>0</v>
      </c>
      <c r="T17" s="411">
        <v>0</v>
      </c>
      <c r="U17" s="411">
        <v>0</v>
      </c>
      <c r="V17" s="411">
        <v>0</v>
      </c>
      <c r="W17" s="411">
        <v>0</v>
      </c>
      <c r="X17" s="411">
        <v>0</v>
      </c>
      <c r="Y17" s="411">
        <v>0</v>
      </c>
      <c r="Z17" s="411">
        <v>0</v>
      </c>
      <c r="AA17" s="411">
        <v>0</v>
      </c>
      <c r="AB17" s="411">
        <v>0</v>
      </c>
    </row>
    <row r="18" spans="2:28" s="305" customFormat="1" ht="12" hidden="1" x14ac:dyDescent="0.2">
      <c r="C18" s="405">
        <v>7</v>
      </c>
      <c r="F18" s="406">
        <v>0</v>
      </c>
      <c r="G18" s="406"/>
      <c r="H18" s="406">
        <v>0</v>
      </c>
      <c r="I18" s="406"/>
      <c r="J18" s="406">
        <v>0</v>
      </c>
      <c r="K18" s="406"/>
      <c r="L18" s="406">
        <v>0</v>
      </c>
      <c r="M18" s="406"/>
      <c r="N18" s="406">
        <v>0</v>
      </c>
      <c r="O18" s="407"/>
      <c r="Q18" s="408">
        <v>0</v>
      </c>
      <c r="R18" s="408">
        <v>0</v>
      </c>
      <c r="S18" s="408">
        <v>0</v>
      </c>
      <c r="T18" s="408">
        <v>0</v>
      </c>
      <c r="U18" s="408">
        <v>0</v>
      </c>
      <c r="V18" s="408">
        <v>0</v>
      </c>
      <c r="W18" s="408">
        <v>0</v>
      </c>
      <c r="X18" s="408">
        <v>0</v>
      </c>
      <c r="Y18" s="408">
        <v>0</v>
      </c>
      <c r="Z18" s="408">
        <v>0</v>
      </c>
      <c r="AA18" s="408">
        <v>0</v>
      </c>
      <c r="AB18" s="408">
        <v>0</v>
      </c>
    </row>
    <row r="19" spans="2:28" s="305" customFormat="1" ht="12" hidden="1" x14ac:dyDescent="0.2">
      <c r="C19" s="409">
        <v>8</v>
      </c>
      <c r="F19" s="410">
        <v>0</v>
      </c>
      <c r="G19" s="410"/>
      <c r="H19" s="410">
        <v>0</v>
      </c>
      <c r="I19" s="410"/>
      <c r="J19" s="410">
        <v>0</v>
      </c>
      <c r="K19" s="410"/>
      <c r="L19" s="410">
        <v>0</v>
      </c>
      <c r="M19" s="410"/>
      <c r="N19" s="410">
        <v>0</v>
      </c>
      <c r="O19" s="407"/>
      <c r="Q19" s="411">
        <v>0</v>
      </c>
      <c r="R19" s="411">
        <v>0</v>
      </c>
      <c r="S19" s="411">
        <v>0</v>
      </c>
      <c r="T19" s="411">
        <v>0</v>
      </c>
      <c r="U19" s="411">
        <v>0</v>
      </c>
      <c r="V19" s="411">
        <v>0</v>
      </c>
      <c r="W19" s="411">
        <v>0</v>
      </c>
      <c r="X19" s="411">
        <v>0</v>
      </c>
      <c r="Y19" s="411">
        <v>0</v>
      </c>
      <c r="Z19" s="411">
        <v>0</v>
      </c>
      <c r="AA19" s="411">
        <v>0</v>
      </c>
      <c r="AB19" s="411">
        <v>0</v>
      </c>
    </row>
    <row r="20" spans="2:28" s="305" customFormat="1" ht="12" hidden="1" x14ac:dyDescent="0.2">
      <c r="C20" s="405">
        <v>9</v>
      </c>
      <c r="F20" s="406">
        <v>0</v>
      </c>
      <c r="G20" s="406"/>
      <c r="H20" s="406">
        <v>0</v>
      </c>
      <c r="I20" s="406"/>
      <c r="J20" s="406">
        <v>0</v>
      </c>
      <c r="K20" s="406"/>
      <c r="L20" s="406">
        <v>0</v>
      </c>
      <c r="M20" s="406"/>
      <c r="N20" s="406">
        <v>0</v>
      </c>
      <c r="O20" s="407"/>
      <c r="Q20" s="408">
        <v>0</v>
      </c>
      <c r="R20" s="408">
        <v>0</v>
      </c>
      <c r="S20" s="408">
        <v>0</v>
      </c>
      <c r="T20" s="408">
        <v>0</v>
      </c>
      <c r="U20" s="408">
        <v>0</v>
      </c>
      <c r="V20" s="408">
        <v>0</v>
      </c>
      <c r="W20" s="408">
        <v>0</v>
      </c>
      <c r="X20" s="408">
        <v>0</v>
      </c>
      <c r="Y20" s="408">
        <v>0</v>
      </c>
      <c r="Z20" s="408">
        <v>0</v>
      </c>
      <c r="AA20" s="408">
        <v>0</v>
      </c>
      <c r="AB20" s="408">
        <v>0</v>
      </c>
    </row>
    <row r="21" spans="2:28" s="305" customFormat="1" ht="12" hidden="1" x14ac:dyDescent="0.2">
      <c r="C21" s="409">
        <v>10</v>
      </c>
      <c r="F21" s="410">
        <v>0</v>
      </c>
      <c r="G21" s="410"/>
      <c r="H21" s="410">
        <v>0</v>
      </c>
      <c r="I21" s="410"/>
      <c r="J21" s="410">
        <v>0</v>
      </c>
      <c r="K21" s="410"/>
      <c r="L21" s="410">
        <v>0</v>
      </c>
      <c r="M21" s="410"/>
      <c r="N21" s="410">
        <v>0</v>
      </c>
      <c r="O21" s="407"/>
      <c r="Q21" s="411">
        <v>0</v>
      </c>
      <c r="R21" s="411">
        <v>0</v>
      </c>
      <c r="S21" s="411">
        <v>0</v>
      </c>
      <c r="T21" s="411">
        <v>0</v>
      </c>
      <c r="U21" s="411">
        <v>0</v>
      </c>
      <c r="V21" s="411">
        <v>0</v>
      </c>
      <c r="W21" s="411">
        <v>0</v>
      </c>
      <c r="X21" s="411">
        <v>0</v>
      </c>
      <c r="Y21" s="411">
        <v>0</v>
      </c>
      <c r="Z21" s="411">
        <v>0</v>
      </c>
      <c r="AA21" s="411">
        <v>0</v>
      </c>
      <c r="AB21" s="411">
        <v>0</v>
      </c>
    </row>
    <row r="22" spans="2:28" s="305" customFormat="1" ht="12" x14ac:dyDescent="0.2">
      <c r="C22" s="405">
        <v>11</v>
      </c>
      <c r="F22" s="406">
        <f>AVERAGE(Q22:AB22)</f>
        <v>142</v>
      </c>
      <c r="G22" s="406"/>
      <c r="H22" s="406">
        <f>+F22*(1+H34)</f>
        <v>149.1</v>
      </c>
      <c r="I22" s="406"/>
      <c r="J22" s="406">
        <f>+H22*(1+J34)</f>
        <v>153.57300000000001</v>
      </c>
      <c r="K22" s="406"/>
      <c r="L22" s="406">
        <f>+J22*(1+L34)</f>
        <v>158.18019000000001</v>
      </c>
      <c r="M22" s="406"/>
      <c r="N22" s="406">
        <f>+L22*(1+N34)</f>
        <v>162.9255957</v>
      </c>
      <c r="O22" s="407"/>
      <c r="Q22" s="535">
        <v>142</v>
      </c>
      <c r="R22" s="535">
        <v>142</v>
      </c>
      <c r="S22" s="535">
        <v>142</v>
      </c>
      <c r="T22" s="535">
        <v>142</v>
      </c>
      <c r="U22" s="535">
        <v>142</v>
      </c>
      <c r="V22" s="535">
        <v>142</v>
      </c>
      <c r="W22" s="535">
        <v>142</v>
      </c>
      <c r="X22" s="535">
        <v>142</v>
      </c>
      <c r="Y22" s="535">
        <v>142</v>
      </c>
      <c r="Z22" s="535">
        <v>142</v>
      </c>
      <c r="AA22" s="535">
        <v>142</v>
      </c>
      <c r="AB22" s="535">
        <v>142</v>
      </c>
    </row>
    <row r="23" spans="2:28" s="305" customFormat="1" ht="12" x14ac:dyDescent="0.2">
      <c r="C23" s="409">
        <v>12</v>
      </c>
      <c r="F23" s="412">
        <f>AVERAGE(Q23:AB23)</f>
        <v>128</v>
      </c>
      <c r="G23" s="410"/>
      <c r="H23" s="412">
        <f>+F23*(1+H34)</f>
        <v>134.4</v>
      </c>
      <c r="I23" s="410"/>
      <c r="J23" s="412">
        <f>+H23*(1+J34)</f>
        <v>138.43200000000002</v>
      </c>
      <c r="K23" s="410"/>
      <c r="L23" s="412">
        <f>+J23*(1+L34)</f>
        <v>142.58496000000002</v>
      </c>
      <c r="M23" s="410"/>
      <c r="N23" s="412">
        <f>+L23*(1+N34)</f>
        <v>146.86250880000003</v>
      </c>
      <c r="O23" s="407"/>
      <c r="Q23" s="535">
        <v>128</v>
      </c>
      <c r="R23" s="535">
        <v>128</v>
      </c>
      <c r="S23" s="535">
        <v>128</v>
      </c>
      <c r="T23" s="535">
        <v>128</v>
      </c>
      <c r="U23" s="535">
        <v>128</v>
      </c>
      <c r="V23" s="535">
        <v>128</v>
      </c>
      <c r="W23" s="535">
        <v>128</v>
      </c>
      <c r="X23" s="535">
        <v>128</v>
      </c>
      <c r="Y23" s="535">
        <v>128</v>
      </c>
      <c r="Z23" s="535">
        <v>128</v>
      </c>
      <c r="AA23" s="535">
        <v>128</v>
      </c>
      <c r="AB23" s="535">
        <v>128</v>
      </c>
    </row>
    <row r="24" spans="2:28" s="305" customFormat="1" ht="12.75" thickBot="1" x14ac:dyDescent="0.25">
      <c r="C24" s="413" t="s">
        <v>66</v>
      </c>
      <c r="F24" s="414">
        <f>SUM(F10:F23)</f>
        <v>270</v>
      </c>
      <c r="G24" s="415"/>
      <c r="H24" s="414">
        <f t="shared" ref="H24:N24" si="0">SUM(H10:H23)</f>
        <v>283.5</v>
      </c>
      <c r="I24" s="415"/>
      <c r="J24" s="414">
        <f t="shared" si="0"/>
        <v>292.005</v>
      </c>
      <c r="K24" s="415"/>
      <c r="L24" s="414">
        <f t="shared" si="0"/>
        <v>300.76515000000006</v>
      </c>
      <c r="M24" s="415"/>
      <c r="N24" s="414">
        <f t="shared" si="0"/>
        <v>309.78810450000003</v>
      </c>
      <c r="O24" s="407"/>
      <c r="Q24" s="416">
        <f t="shared" ref="Q24:AB24" si="1">SUM(Q10:Q23)</f>
        <v>270</v>
      </c>
      <c r="R24" s="416">
        <f t="shared" si="1"/>
        <v>270</v>
      </c>
      <c r="S24" s="416">
        <f t="shared" si="1"/>
        <v>270</v>
      </c>
      <c r="T24" s="416">
        <f t="shared" si="1"/>
        <v>270</v>
      </c>
      <c r="U24" s="416">
        <f t="shared" si="1"/>
        <v>270</v>
      </c>
      <c r="V24" s="416">
        <f t="shared" si="1"/>
        <v>270</v>
      </c>
      <c r="W24" s="416">
        <f t="shared" si="1"/>
        <v>270</v>
      </c>
      <c r="X24" s="416">
        <f t="shared" si="1"/>
        <v>270</v>
      </c>
      <c r="Y24" s="416">
        <f t="shared" si="1"/>
        <v>270</v>
      </c>
      <c r="Z24" s="416">
        <f t="shared" si="1"/>
        <v>270</v>
      </c>
      <c r="AA24" s="416">
        <f t="shared" si="1"/>
        <v>270</v>
      </c>
      <c r="AB24" s="416">
        <f t="shared" si="1"/>
        <v>270</v>
      </c>
    </row>
    <row r="25" spans="2:28" s="305" customFormat="1" ht="12.75" thickTop="1" x14ac:dyDescent="0.2">
      <c r="G25" s="309"/>
      <c r="I25" s="309"/>
      <c r="K25" s="309"/>
      <c r="M25" s="309"/>
    </row>
    <row r="26" spans="2:28" s="305" customFormat="1" ht="12" x14ac:dyDescent="0.2">
      <c r="C26" s="417" t="s">
        <v>328</v>
      </c>
      <c r="F26" s="536">
        <v>70</v>
      </c>
      <c r="G26" s="309"/>
      <c r="H26" s="418"/>
      <c r="I26" s="309"/>
      <c r="J26" s="418"/>
      <c r="K26" s="309"/>
      <c r="L26" s="418"/>
      <c r="M26" s="309"/>
      <c r="N26" s="418"/>
    </row>
    <row r="27" spans="2:28" s="305" customFormat="1" ht="12" x14ac:dyDescent="0.2">
      <c r="C27" s="417" t="s">
        <v>329</v>
      </c>
      <c r="F27" s="536">
        <v>5</v>
      </c>
      <c r="G27" s="309"/>
      <c r="H27" s="418"/>
      <c r="I27" s="309"/>
      <c r="J27" s="418"/>
      <c r="K27" s="309"/>
      <c r="L27" s="418"/>
      <c r="M27" s="309"/>
      <c r="N27" s="418"/>
    </row>
    <row r="28" spans="2:28" s="305" customFormat="1" ht="12" x14ac:dyDescent="0.2">
      <c r="C28" s="419" t="s">
        <v>330</v>
      </c>
      <c r="F28" s="536">
        <v>10</v>
      </c>
      <c r="G28" s="309"/>
      <c r="H28" s="418"/>
      <c r="I28" s="309"/>
      <c r="J28" s="418"/>
      <c r="K28" s="309"/>
      <c r="L28" s="418"/>
      <c r="M28" s="309"/>
      <c r="N28" s="418"/>
    </row>
    <row r="29" spans="2:28" s="305" customFormat="1" ht="12" x14ac:dyDescent="0.2">
      <c r="C29" s="417" t="s">
        <v>331</v>
      </c>
      <c r="F29" s="536">
        <v>5</v>
      </c>
      <c r="G29" s="309"/>
      <c r="H29" s="418"/>
      <c r="I29" s="309"/>
      <c r="J29" s="418"/>
      <c r="K29" s="309"/>
      <c r="L29" s="418"/>
      <c r="M29" s="309"/>
      <c r="N29" s="418"/>
    </row>
    <row r="30" spans="2:28" s="305" customFormat="1" ht="12" x14ac:dyDescent="0.2">
      <c r="C30" s="417" t="s">
        <v>342</v>
      </c>
      <c r="F30" s="534"/>
      <c r="G30" s="309"/>
      <c r="H30" s="418"/>
      <c r="I30" s="309"/>
      <c r="J30" s="418"/>
      <c r="K30" s="309"/>
      <c r="L30" s="418"/>
      <c r="M30" s="309"/>
      <c r="N30" s="418"/>
      <c r="R30" s="655"/>
    </row>
    <row r="31" spans="2:28" s="305" customFormat="1" ht="12.75" thickBot="1" x14ac:dyDescent="0.25">
      <c r="G31" s="309"/>
      <c r="I31" s="309"/>
      <c r="K31" s="309"/>
      <c r="M31" s="309"/>
    </row>
    <row r="32" spans="2:28" s="305" customFormat="1" ht="12.75" thickBot="1" x14ac:dyDescent="0.25">
      <c r="B32" s="700" t="s">
        <v>71</v>
      </c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2"/>
    </row>
    <row r="33" spans="2:14" s="305" customFormat="1" ht="12" x14ac:dyDescent="0.2">
      <c r="G33" s="309"/>
      <c r="I33" s="309"/>
      <c r="K33" s="309"/>
      <c r="M33" s="309"/>
    </row>
    <row r="34" spans="2:14" s="305" customFormat="1" ht="12" x14ac:dyDescent="0.2">
      <c r="B34" s="305" t="s">
        <v>187</v>
      </c>
      <c r="F34" s="420" t="s">
        <v>84</v>
      </c>
      <c r="G34" s="308"/>
      <c r="H34" s="421">
        <v>0.05</v>
      </c>
      <c r="I34" s="422"/>
      <c r="J34" s="421">
        <v>0.03</v>
      </c>
      <c r="K34" s="422"/>
      <c r="L34" s="421">
        <v>0.03</v>
      </c>
      <c r="M34" s="422"/>
      <c r="N34" s="421">
        <v>0.03</v>
      </c>
    </row>
    <row r="35" spans="2:14" s="305" customFormat="1" ht="12" x14ac:dyDescent="0.2">
      <c r="B35" s="305" t="s">
        <v>255</v>
      </c>
      <c r="F35" s="641">
        <v>7200</v>
      </c>
      <c r="G35" s="308"/>
      <c r="H35" s="308">
        <f>$F$35</f>
        <v>7200</v>
      </c>
      <c r="I35" s="308"/>
      <c r="J35" s="308">
        <f>$F$35</f>
        <v>7200</v>
      </c>
      <c r="K35" s="308"/>
      <c r="L35" s="308">
        <f>$F$35</f>
        <v>7200</v>
      </c>
      <c r="M35" s="308"/>
      <c r="N35" s="308">
        <f>$F$35</f>
        <v>7200</v>
      </c>
    </row>
    <row r="36" spans="2:14" s="305" customFormat="1" ht="12" x14ac:dyDescent="0.2">
      <c r="B36" s="305" t="s">
        <v>256</v>
      </c>
      <c r="F36" s="423">
        <v>0.3</v>
      </c>
      <c r="G36" s="309"/>
      <c r="H36" s="423">
        <f>F36</f>
        <v>0.3</v>
      </c>
      <c r="I36" s="309"/>
      <c r="J36" s="423">
        <f>H36</f>
        <v>0.3</v>
      </c>
      <c r="K36" s="309"/>
      <c r="L36" s="423">
        <f>J36</f>
        <v>0.3</v>
      </c>
      <c r="M36" s="309"/>
      <c r="N36" s="423">
        <f>L36</f>
        <v>0.3</v>
      </c>
    </row>
    <row r="37" spans="2:14" s="305" customFormat="1" ht="12" x14ac:dyDescent="0.2">
      <c r="B37" s="305" t="s">
        <v>257</v>
      </c>
      <c r="F37" s="308">
        <f>F35*(1-F36)</f>
        <v>5040</v>
      </c>
      <c r="G37" s="308"/>
      <c r="H37" s="308">
        <f>H35*(1-H36)</f>
        <v>5040</v>
      </c>
      <c r="I37" s="308"/>
      <c r="J37" s="308">
        <f>J35*(1-J36)</f>
        <v>5040</v>
      </c>
      <c r="K37" s="308"/>
      <c r="L37" s="308">
        <f>L35*(1-L36)</f>
        <v>5040</v>
      </c>
      <c r="M37" s="308"/>
      <c r="N37" s="308">
        <f>N35*(1-N36)</f>
        <v>5040</v>
      </c>
    </row>
    <row r="38" spans="2:14" s="305" customFormat="1" ht="12" x14ac:dyDescent="0.2">
      <c r="F38" s="527"/>
      <c r="G38" s="308"/>
      <c r="H38" s="308"/>
      <c r="I38" s="308"/>
      <c r="J38" s="308"/>
      <c r="K38" s="308"/>
      <c r="L38" s="308"/>
      <c r="M38" s="308"/>
      <c r="N38" s="308"/>
    </row>
    <row r="39" spans="2:14" s="305" customFormat="1" ht="12" x14ac:dyDescent="0.2">
      <c r="B39" s="424" t="s">
        <v>72</v>
      </c>
      <c r="G39" s="309"/>
      <c r="I39" s="309"/>
      <c r="K39" s="309"/>
      <c r="M39" s="309"/>
    </row>
    <row r="40" spans="2:14" s="305" customFormat="1" ht="12" x14ac:dyDescent="0.2">
      <c r="B40" s="425" t="s">
        <v>357</v>
      </c>
      <c r="F40" s="426">
        <v>0.26400000000000001</v>
      </c>
      <c r="G40" s="316"/>
      <c r="H40" s="317">
        <f>F40</f>
        <v>0.26400000000000001</v>
      </c>
      <c r="I40" s="318"/>
      <c r="J40" s="317">
        <f t="shared" ref="J40" si="2">H40</f>
        <v>0.26400000000000001</v>
      </c>
      <c r="K40" s="318"/>
      <c r="L40" s="317">
        <f>J40</f>
        <v>0.26400000000000001</v>
      </c>
      <c r="M40" s="318"/>
      <c r="N40" s="317">
        <f>L40</f>
        <v>0.26400000000000001</v>
      </c>
    </row>
    <row r="41" spans="2:14" s="305" customFormat="1" ht="12" x14ac:dyDescent="0.2">
      <c r="B41" s="425" t="s">
        <v>358</v>
      </c>
      <c r="F41" s="426">
        <v>0.28999999999999998</v>
      </c>
      <c r="G41" s="316"/>
      <c r="H41" s="317">
        <f t="shared" ref="H41:H44" si="3">F41</f>
        <v>0.28999999999999998</v>
      </c>
      <c r="I41" s="318"/>
      <c r="J41" s="317">
        <f>H41</f>
        <v>0.28999999999999998</v>
      </c>
      <c r="K41" s="318"/>
      <c r="L41" s="317">
        <f>J41</f>
        <v>0.28999999999999998</v>
      </c>
      <c r="M41" s="318"/>
      <c r="N41" s="317">
        <f>L41</f>
        <v>0.28999999999999998</v>
      </c>
    </row>
    <row r="42" spans="2:14" s="305" customFormat="1" ht="12" x14ac:dyDescent="0.2">
      <c r="B42" s="425" t="s">
        <v>359</v>
      </c>
      <c r="F42" s="426">
        <v>1E-3</v>
      </c>
      <c r="G42" s="316"/>
      <c r="H42" s="317">
        <f t="shared" si="3"/>
        <v>1E-3</v>
      </c>
      <c r="I42" s="318"/>
      <c r="J42" s="317">
        <f>H42</f>
        <v>1E-3</v>
      </c>
      <c r="K42" s="318"/>
      <c r="L42" s="317">
        <f>J42</f>
        <v>1E-3</v>
      </c>
      <c r="M42" s="318"/>
      <c r="N42" s="317">
        <f>L42</f>
        <v>1E-3</v>
      </c>
    </row>
    <row r="43" spans="2:14" s="305" customFormat="1" ht="12" x14ac:dyDescent="0.2">
      <c r="B43" s="425" t="s">
        <v>360</v>
      </c>
      <c r="F43" s="426">
        <v>3.1E-2</v>
      </c>
      <c r="G43" s="316"/>
      <c r="H43" s="317">
        <f t="shared" si="3"/>
        <v>3.1E-2</v>
      </c>
      <c r="I43" s="318"/>
      <c r="J43" s="317">
        <f>H43</f>
        <v>3.1E-2</v>
      </c>
      <c r="K43" s="318"/>
      <c r="L43" s="317">
        <f>J43</f>
        <v>3.1E-2</v>
      </c>
      <c r="M43" s="318"/>
      <c r="N43" s="317">
        <f>L43</f>
        <v>3.1E-2</v>
      </c>
    </row>
    <row r="44" spans="2:14" s="305" customFormat="1" ht="12" x14ac:dyDescent="0.2">
      <c r="B44" s="425" t="s">
        <v>361</v>
      </c>
      <c r="F44" s="426">
        <v>0.41399999999999998</v>
      </c>
      <c r="G44" s="316"/>
      <c r="H44" s="317">
        <f t="shared" si="3"/>
        <v>0.41399999999999998</v>
      </c>
      <c r="I44" s="318"/>
      <c r="J44" s="317">
        <f>H44</f>
        <v>0.41399999999999998</v>
      </c>
      <c r="K44" s="318"/>
      <c r="L44" s="317">
        <f>J44</f>
        <v>0.41399999999999998</v>
      </c>
      <c r="M44" s="318"/>
      <c r="N44" s="317">
        <f>L44</f>
        <v>0.41399999999999998</v>
      </c>
    </row>
    <row r="45" spans="2:14" s="305" customFormat="1" ht="12" x14ac:dyDescent="0.2">
      <c r="F45" s="427">
        <f>SUM(F40:F44)</f>
        <v>1</v>
      </c>
      <c r="G45" s="318"/>
      <c r="H45" s="427">
        <f t="shared" ref="H45:N45" si="4">SUM(H40:H44)</f>
        <v>1</v>
      </c>
      <c r="I45" s="318"/>
      <c r="J45" s="427">
        <f t="shared" si="4"/>
        <v>1</v>
      </c>
      <c r="K45" s="318"/>
      <c r="L45" s="427">
        <f t="shared" si="4"/>
        <v>1</v>
      </c>
      <c r="M45" s="318"/>
      <c r="N45" s="427">
        <f t="shared" si="4"/>
        <v>1</v>
      </c>
    </row>
    <row r="46" spans="2:14" s="305" customFormat="1" ht="12" x14ac:dyDescent="0.2">
      <c r="G46" s="309"/>
      <c r="H46" s="656"/>
      <c r="I46" s="309"/>
      <c r="K46" s="309"/>
      <c r="M46" s="309"/>
    </row>
    <row r="47" spans="2:14" s="305" customFormat="1" ht="12" x14ac:dyDescent="0.2">
      <c r="B47" s="424" t="s">
        <v>74</v>
      </c>
      <c r="G47" s="309"/>
      <c r="I47" s="309"/>
      <c r="K47" s="309"/>
      <c r="M47" s="309"/>
    </row>
    <row r="48" spans="2:14" s="305" customFormat="1" ht="12" x14ac:dyDescent="0.2">
      <c r="B48" s="425" t="s">
        <v>356</v>
      </c>
      <c r="D48" s="668" t="s">
        <v>581</v>
      </c>
      <c r="F48" s="670">
        <v>0</v>
      </c>
      <c r="G48" s="410"/>
      <c r="H48" s="411"/>
      <c r="I48" s="410"/>
      <c r="J48" s="411"/>
      <c r="K48" s="410"/>
      <c r="L48" s="411"/>
      <c r="M48" s="410"/>
      <c r="N48" s="411"/>
    </row>
    <row r="49" spans="2:34" s="305" customFormat="1" ht="12" x14ac:dyDescent="0.2">
      <c r="B49" s="425" t="s">
        <v>588</v>
      </c>
      <c r="D49" s="669" t="s">
        <v>278</v>
      </c>
      <c r="F49" s="669">
        <f>((SUMPRODUCT((ISNUMBER(SEARCH(RIGHT(D49,4),'Exp Details'!$D$8:$D$497)))*'Exp Details'!$H$8:$H$497)))+((SUMPRODUCT((ISNUMBER(SEARCH(RIGHT(D49,4),Payroll!$G$8:$G$100)))*Payroll!$H$8:$H$100)))</f>
        <v>384</v>
      </c>
      <c r="G49" s="410"/>
      <c r="H49" s="411"/>
      <c r="I49" s="410"/>
      <c r="J49" s="411"/>
      <c r="K49" s="410"/>
      <c r="L49" s="411"/>
      <c r="M49" s="410"/>
      <c r="N49" s="411"/>
    </row>
    <row r="50" spans="2:34" s="305" customFormat="1" ht="12" x14ac:dyDescent="0.2">
      <c r="B50" s="425" t="s">
        <v>589</v>
      </c>
      <c r="D50" s="669" t="s">
        <v>568</v>
      </c>
      <c r="F50" s="669">
        <f>((SUMPRODUCT((ISNUMBER(SEARCH(RIGHT(D50,4),'Exp Details'!$D$8:$D$497)))*'Exp Details'!$H$8:$H$497)))+((SUMPRODUCT((ISNUMBER(SEARCH(RIGHT(D50,4),Payroll!$G$8:$G$100)))*Payroll!$H$8:$H$100)))</f>
        <v>0</v>
      </c>
      <c r="G50" s="410"/>
      <c r="H50" s="411"/>
      <c r="I50" s="410"/>
      <c r="J50" s="411"/>
      <c r="K50" s="410"/>
      <c r="L50" s="411"/>
      <c r="M50" s="410"/>
      <c r="N50" s="411"/>
    </row>
    <row r="51" spans="2:34" s="305" customFormat="1" ht="12" x14ac:dyDescent="0.2">
      <c r="B51" s="425" t="s">
        <v>590</v>
      </c>
      <c r="D51" s="668" t="s">
        <v>581</v>
      </c>
      <c r="F51" s="670">
        <v>0</v>
      </c>
      <c r="G51" s="410"/>
      <c r="H51" s="411"/>
      <c r="I51" s="410"/>
      <c r="J51" s="411"/>
      <c r="K51" s="410"/>
      <c r="L51" s="411"/>
      <c r="M51" s="410"/>
      <c r="N51" s="411"/>
    </row>
    <row r="52" spans="2:34" s="305" customFormat="1" ht="12" x14ac:dyDescent="0.2">
      <c r="B52" s="425" t="s">
        <v>591</v>
      </c>
      <c r="D52" s="669" t="s">
        <v>280</v>
      </c>
      <c r="F52" s="669">
        <f>((SUMPRODUCT((ISNUMBER(SEARCH(RIGHT(D52,4),'Exp Details'!$D$8:$D$497)))*'Exp Details'!$H$8:$H$497)))+((SUMPRODUCT((ISNUMBER(SEARCH(RIGHT(D52,4),Payroll!$G$8:$G$100)))*Payroll!$H$8:$H$100)))</f>
        <v>0</v>
      </c>
      <c r="G52" s="410"/>
      <c r="H52" s="411"/>
      <c r="I52" s="410"/>
      <c r="J52" s="411"/>
      <c r="K52" s="410"/>
      <c r="L52" s="411"/>
      <c r="M52" s="410"/>
      <c r="N52" s="411"/>
      <c r="AF52" s="324">
        <v>300000</v>
      </c>
    </row>
    <row r="53" spans="2:34" s="305" customFormat="1" ht="12" x14ac:dyDescent="0.2">
      <c r="D53" s="407"/>
      <c r="F53" s="407"/>
      <c r="G53" s="410"/>
      <c r="H53" s="407"/>
      <c r="I53" s="410"/>
      <c r="J53" s="407"/>
      <c r="K53" s="410"/>
      <c r="L53" s="407"/>
      <c r="M53" s="410"/>
      <c r="N53" s="407"/>
      <c r="AF53" s="324">
        <f>AF52/100</f>
        <v>3000</v>
      </c>
    </row>
    <row r="54" spans="2:34" s="305" customFormat="1" ht="12" x14ac:dyDescent="0.2">
      <c r="B54" s="424" t="s">
        <v>75</v>
      </c>
      <c r="D54" s="407"/>
      <c r="F54" s="407"/>
      <c r="G54" s="410"/>
      <c r="H54" s="407"/>
      <c r="I54" s="410"/>
      <c r="J54" s="407"/>
      <c r="K54" s="410"/>
      <c r="L54" s="407"/>
      <c r="M54" s="410"/>
      <c r="N54" s="407"/>
      <c r="AF54" s="324"/>
    </row>
    <row r="55" spans="2:34" s="305" customFormat="1" ht="12" x14ac:dyDescent="0.2">
      <c r="B55" s="425" t="s">
        <v>592</v>
      </c>
      <c r="D55" s="669" t="s">
        <v>283</v>
      </c>
      <c r="F55" s="669">
        <f>((SUMPRODUCT((ISNUMBER(SEARCH(RIGHT(D55,4),'Exp Details'!$D$8:$D$497)))*'Exp Details'!$H$8:$H$497)))+((SUMPRODUCT((ISNUMBER(SEARCH(RIGHT(D55,4),Payroll!$G$8:$G$100)))*Payroll!$H$8:$H$100)))</f>
        <v>0</v>
      </c>
      <c r="G55" s="410"/>
      <c r="H55" s="411"/>
      <c r="I55" s="410"/>
      <c r="J55" s="411"/>
      <c r="K55" s="410"/>
      <c r="L55" s="411"/>
      <c r="M55" s="410"/>
      <c r="N55" s="411"/>
      <c r="AF55" s="324">
        <f>AF53/21</f>
        <v>142.85714285714286</v>
      </c>
    </row>
    <row r="56" spans="2:34" s="305" customFormat="1" ht="12" x14ac:dyDescent="0.2">
      <c r="B56" s="425" t="s">
        <v>593</v>
      </c>
      <c r="D56" s="669" t="s">
        <v>582</v>
      </c>
      <c r="F56" s="669">
        <f>((SUMPRODUCT((ISNUMBER(SEARCH(RIGHT(D56,4),'Exp Details'!$D$8:$D$497)))*'Exp Details'!$H$8:$H$497)))+((SUMPRODUCT((ISNUMBER(SEARCH(RIGHT(D56,4),Payroll!$G$8:$G$100)))*Payroll!$H$8:$H$100)))</f>
        <v>0</v>
      </c>
      <c r="G56" s="410"/>
      <c r="H56" s="411"/>
      <c r="I56" s="410"/>
      <c r="J56" s="411"/>
      <c r="K56" s="410"/>
      <c r="L56" s="411"/>
      <c r="M56" s="410"/>
      <c r="N56" s="411"/>
      <c r="AF56" s="324"/>
    </row>
    <row r="57" spans="2:34" s="305" customFormat="1" ht="12" x14ac:dyDescent="0.2">
      <c r="B57" s="425" t="s">
        <v>594</v>
      </c>
      <c r="D57" s="669" t="s">
        <v>288</v>
      </c>
      <c r="F57" s="669">
        <f>((SUMPRODUCT((ISNUMBER(SEARCH(RIGHT(D57,4),'Exp Details'!$D$8:$D$497)))*'Exp Details'!$H$8:$H$497)))+((SUMPRODUCT((ISNUMBER(SEARCH(RIGHT(D57,4),Payroll!$G$8:$G$100)))*Payroll!$H$8:$H$100)))</f>
        <v>0</v>
      </c>
      <c r="G57" s="410"/>
      <c r="H57" s="411"/>
      <c r="I57" s="410"/>
      <c r="J57" s="411"/>
      <c r="K57" s="410"/>
      <c r="L57" s="411"/>
      <c r="M57" s="410"/>
      <c r="N57" s="411"/>
      <c r="AF57" s="324">
        <f>AF55*9</f>
        <v>1285.7142857142858</v>
      </c>
      <c r="AG57" s="655">
        <f>AF55*12</f>
        <v>1714.2857142857142</v>
      </c>
    </row>
    <row r="58" spans="2:34" s="305" customFormat="1" ht="12" x14ac:dyDescent="0.2">
      <c r="B58" s="425" t="s">
        <v>595</v>
      </c>
      <c r="D58" s="669" t="s">
        <v>583</v>
      </c>
      <c r="F58" s="669">
        <f>((SUMPRODUCT((ISNUMBER(SEARCH(RIGHT(D58,4),'Exp Details'!$D$8:$D$497)))*'Exp Details'!$H$8:$H$497)))+((SUMPRODUCT((ISNUMBER(SEARCH(RIGHT(D58,4),Payroll!$G$8:$G$100)))*Payroll!$H$8:$H$100)))</f>
        <v>0</v>
      </c>
      <c r="G58" s="410"/>
      <c r="H58" s="411"/>
      <c r="I58" s="410"/>
      <c r="J58" s="411"/>
      <c r="K58" s="410"/>
      <c r="L58" s="411"/>
      <c r="M58" s="410"/>
      <c r="N58" s="411"/>
      <c r="AF58" s="324" t="s">
        <v>600</v>
      </c>
      <c r="AG58" s="324" t="s">
        <v>601</v>
      </c>
      <c r="AH58" s="324"/>
    </row>
    <row r="59" spans="2:34" s="305" customFormat="1" ht="12" x14ac:dyDescent="0.2">
      <c r="B59" s="425" t="s">
        <v>596</v>
      </c>
      <c r="D59" s="669" t="s">
        <v>584</v>
      </c>
      <c r="F59" s="669">
        <f>((SUMPRODUCT((ISNUMBER(SEARCH(RIGHT(D59,4),'Exp Details'!$D$8:$D$497)))*'Exp Details'!$H$8:$H$497)))+((SUMPRODUCT((ISNUMBER(SEARCH(RIGHT(D59,4),Payroll!$G$8:$G$100)))*Payroll!$H$8:$H$100)))</f>
        <v>0</v>
      </c>
      <c r="G59" s="410"/>
      <c r="H59" s="411"/>
      <c r="I59" s="410"/>
      <c r="J59" s="411"/>
      <c r="K59" s="410"/>
      <c r="L59" s="411"/>
      <c r="M59" s="410"/>
      <c r="N59" s="411"/>
      <c r="AF59" s="324">
        <v>1200</v>
      </c>
      <c r="AG59" s="324">
        <v>1800</v>
      </c>
      <c r="AH59" s="324"/>
    </row>
    <row r="60" spans="2:34" s="305" customFormat="1" ht="12" x14ac:dyDescent="0.2">
      <c r="B60" s="425" t="s">
        <v>354</v>
      </c>
      <c r="D60" s="668" t="s">
        <v>585</v>
      </c>
      <c r="F60" s="669">
        <f>((SUMPRODUCT((ISNUMBER(SEARCH(RIGHT(D60,4),'Exp Details'!$D$8:$D$497)))*'Exp Details'!$H$8:$H$497)))+((SUMPRODUCT((ISNUMBER(SEARCH(RIGHT(D60,4),Payroll!$G$8:$G$100)))*Payroll!$H$8:$H$100)))</f>
        <v>0</v>
      </c>
      <c r="G60" s="410"/>
      <c r="H60" s="411"/>
      <c r="I60" s="410"/>
      <c r="J60" s="411"/>
      <c r="K60" s="410"/>
      <c r="L60" s="411"/>
      <c r="M60" s="410"/>
      <c r="N60" s="411"/>
      <c r="AF60" s="324"/>
      <c r="AG60" s="324"/>
      <c r="AH60" s="324"/>
    </row>
    <row r="61" spans="2:34" s="305" customFormat="1" ht="12" x14ac:dyDescent="0.2">
      <c r="D61" s="407"/>
      <c r="F61" s="407"/>
      <c r="G61" s="410"/>
      <c r="H61" s="407"/>
      <c r="I61" s="410"/>
      <c r="J61" s="407"/>
      <c r="K61" s="410"/>
      <c r="L61" s="407"/>
      <c r="M61" s="410"/>
      <c r="N61" s="407"/>
      <c r="AE61" s="305">
        <v>6641</v>
      </c>
      <c r="AF61" s="324">
        <v>50</v>
      </c>
      <c r="AG61" s="324">
        <v>65</v>
      </c>
      <c r="AH61" s="324"/>
    </row>
    <row r="62" spans="2:34" s="305" customFormat="1" ht="12" x14ac:dyDescent="0.2">
      <c r="B62" s="424" t="s">
        <v>76</v>
      </c>
      <c r="D62" s="407"/>
      <c r="F62" s="407"/>
      <c r="G62" s="410"/>
      <c r="H62" s="407"/>
      <c r="I62" s="410"/>
      <c r="J62" s="407"/>
      <c r="K62" s="410"/>
      <c r="L62" s="407"/>
      <c r="M62" s="410"/>
      <c r="N62" s="407"/>
      <c r="AE62" s="305">
        <v>6642</v>
      </c>
      <c r="AF62" s="324">
        <v>100</v>
      </c>
      <c r="AG62" s="324">
        <v>135</v>
      </c>
      <c r="AH62" s="324"/>
    </row>
    <row r="63" spans="2:34" s="305" customFormat="1" ht="12" x14ac:dyDescent="0.2">
      <c r="B63" s="425" t="s">
        <v>586</v>
      </c>
      <c r="D63" s="411"/>
      <c r="F63" s="411"/>
      <c r="G63" s="410"/>
      <c r="H63" s="411"/>
      <c r="I63" s="410"/>
      <c r="J63" s="411"/>
      <c r="K63" s="410"/>
      <c r="L63" s="411"/>
      <c r="M63" s="410"/>
      <c r="N63" s="411"/>
      <c r="AE63" s="305">
        <v>6569</v>
      </c>
      <c r="AF63" s="324">
        <v>950</v>
      </c>
      <c r="AG63" s="324">
        <v>1600</v>
      </c>
      <c r="AH63" s="324"/>
    </row>
    <row r="64" spans="2:34" s="305" customFormat="1" ht="12" x14ac:dyDescent="0.2">
      <c r="B64" s="425" t="s">
        <v>587</v>
      </c>
      <c r="D64" s="411"/>
      <c r="F64" s="411"/>
      <c r="G64" s="410"/>
      <c r="H64" s="411"/>
      <c r="I64" s="410"/>
      <c r="J64" s="411"/>
      <c r="K64" s="410"/>
      <c r="L64" s="411"/>
      <c r="M64" s="410"/>
      <c r="N64" s="411"/>
      <c r="AF64" s="324">
        <f>SUM(AF61:AF63)</f>
        <v>1100</v>
      </c>
      <c r="AG64" s="324">
        <f>SUM(AG61:AG63)</f>
        <v>1800</v>
      </c>
    </row>
    <row r="65" spans="2:33" s="305" customFormat="1" ht="12" x14ac:dyDescent="0.2">
      <c r="B65" s="425" t="s">
        <v>355</v>
      </c>
      <c r="D65" s="411"/>
      <c r="F65" s="411"/>
      <c r="G65" s="410"/>
      <c r="H65" s="411"/>
      <c r="I65" s="410"/>
      <c r="J65" s="411"/>
      <c r="K65" s="410"/>
      <c r="L65" s="411"/>
      <c r="M65" s="410"/>
      <c r="N65" s="411"/>
    </row>
    <row r="66" spans="2:33" s="305" customFormat="1" ht="12" x14ac:dyDescent="0.2">
      <c r="G66" s="309"/>
      <c r="I66" s="309"/>
      <c r="K66" s="309"/>
      <c r="M66" s="309"/>
      <c r="AE66" s="305">
        <v>6641</v>
      </c>
      <c r="AF66" s="324">
        <v>100</v>
      </c>
      <c r="AG66" s="324"/>
    </row>
    <row r="67" spans="2:33" s="305" customFormat="1" ht="12" x14ac:dyDescent="0.2">
      <c r="G67" s="309"/>
      <c r="I67" s="309"/>
      <c r="K67" s="309"/>
      <c r="M67" s="309"/>
      <c r="AF67" s="324"/>
      <c r="AG67" s="324"/>
    </row>
    <row r="68" spans="2:33" s="305" customFormat="1" ht="12" x14ac:dyDescent="0.2">
      <c r="G68" s="309"/>
      <c r="I68" s="309"/>
      <c r="K68" s="309"/>
      <c r="M68" s="309"/>
      <c r="AF68" s="324">
        <f>AF64+AF66</f>
        <v>1200</v>
      </c>
      <c r="AG68" s="324">
        <f>AG64+AG66</f>
        <v>1800</v>
      </c>
    </row>
    <row r="69" spans="2:33" s="305" customFormat="1" ht="12" x14ac:dyDescent="0.2">
      <c r="G69" s="309"/>
      <c r="I69" s="309"/>
      <c r="K69" s="309"/>
      <c r="M69" s="309"/>
      <c r="AF69" s="324"/>
      <c r="AG69" s="324"/>
    </row>
    <row r="70" spans="2:33" x14ac:dyDescent="0.25">
      <c r="AE70" s="305"/>
      <c r="AF70" s="305"/>
      <c r="AG70" s="305"/>
    </row>
  </sheetData>
  <sheetProtection algorithmName="SHA-512" hashValue="vMKRDUeU3sVNfERvsv6kyGJKr3FI2QguxdSoYHGGDzkK2cTViF79uPjXr0XIJ2gpkJCs4REdLw5QkF9rPeuHBw==" saltValue="V9uswBGnjYDi8vw+pQJDIw==" spinCount="100000" sheet="1" selectLockedCells="1" selectUnlockedCells="1"/>
  <mergeCells count="4">
    <mergeCell ref="F5:N5"/>
    <mergeCell ref="B32:O32"/>
    <mergeCell ref="B8:O8"/>
    <mergeCell ref="Q8:AB8"/>
  </mergeCells>
  <phoneticPr fontId="13" type="noConversion"/>
  <pageMargins left="0.7" right="0.7" top="0.75" bottom="0.75" header="0.3" footer="0.3"/>
  <pageSetup scale="43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1:AO300"/>
  <sheetViews>
    <sheetView workbookViewId="0">
      <selection sqref="A1:XFD1048576"/>
    </sheetView>
  </sheetViews>
  <sheetFormatPr defaultColWidth="9.140625" defaultRowHeight="15" outlineLevelRow="1" outlineLevelCol="1" x14ac:dyDescent="0.25"/>
  <cols>
    <col min="1" max="1" width="2.140625" style="428" customWidth="1"/>
    <col min="2" max="2" width="7.42578125" style="496" customWidth="1"/>
    <col min="3" max="3" width="20.140625" style="428" customWidth="1"/>
    <col min="4" max="4" width="32" style="428" bestFit="1" customWidth="1"/>
    <col min="5" max="5" width="15.28515625" style="497" bestFit="1" customWidth="1"/>
    <col min="6" max="7" width="8.5703125" style="498" customWidth="1"/>
    <col min="8" max="8" width="8.5703125" style="498" hidden="1" customWidth="1"/>
    <col min="9" max="9" width="4.85546875" style="499" bestFit="1" customWidth="1"/>
    <col min="10" max="10" width="9.5703125" style="428" customWidth="1"/>
    <col min="11" max="11" width="11.140625" style="532" bestFit="1" customWidth="1"/>
    <col min="12" max="23" width="6.85546875" style="594" bestFit="1" customWidth="1" outlineLevel="1"/>
    <col min="24" max="24" width="3.7109375" style="501" bestFit="1" customWidth="1"/>
    <col min="25" max="25" width="9.5703125" style="428" customWidth="1"/>
    <col min="26" max="26" width="3.140625" style="496" customWidth="1"/>
    <col min="27" max="27" width="9.5703125" style="428" customWidth="1"/>
    <col min="28" max="28" width="3.140625" style="496" customWidth="1"/>
    <col min="29" max="29" width="9.5703125" style="428" customWidth="1"/>
    <col min="30" max="30" width="3.140625" style="496" customWidth="1"/>
    <col min="31" max="31" width="9.5703125" style="428" customWidth="1"/>
    <col min="32" max="32" width="9.140625" style="428"/>
    <col min="33" max="34" width="11.42578125" style="533" customWidth="1"/>
    <col min="35" max="16384" width="9.140625" style="428"/>
  </cols>
  <sheetData>
    <row r="1" spans="1:34" s="386" customFormat="1" ht="21" x14ac:dyDescent="0.35">
      <c r="A1" s="385" t="str">
        <f>'Rev &amp; Enroll'!$F$5</f>
        <v>Nevada State High School (Henderson)</v>
      </c>
      <c r="B1" s="398"/>
      <c r="C1" s="390"/>
      <c r="D1" s="390"/>
      <c r="E1" s="430"/>
      <c r="F1" s="431"/>
      <c r="G1" s="431"/>
      <c r="H1" s="431"/>
      <c r="I1" s="432"/>
      <c r="J1" s="390"/>
      <c r="K1" s="433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434"/>
      <c r="Y1" s="390"/>
      <c r="Z1" s="433"/>
      <c r="AA1" s="390"/>
      <c r="AB1" s="433"/>
      <c r="AC1" s="388"/>
      <c r="AD1" s="398"/>
      <c r="AE1" s="388"/>
      <c r="AG1" s="435"/>
      <c r="AH1" s="436"/>
    </row>
    <row r="2" spans="1:34" s="386" customFormat="1" x14ac:dyDescent="0.25">
      <c r="A2" s="391" t="s">
        <v>77</v>
      </c>
      <c r="B2" s="437"/>
      <c r="C2" s="388"/>
      <c r="D2" s="388"/>
      <c r="E2" s="438"/>
      <c r="F2" s="439"/>
      <c r="G2" s="439"/>
      <c r="H2" s="439"/>
      <c r="I2" s="440"/>
      <c r="J2" s="388"/>
      <c r="K2" s="398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434"/>
      <c r="Y2" s="388"/>
      <c r="Z2" s="398"/>
      <c r="AB2" s="437"/>
      <c r="AC2" s="394"/>
      <c r="AD2" s="398"/>
      <c r="AE2" s="394"/>
      <c r="AG2" s="441"/>
      <c r="AH2" s="435"/>
    </row>
    <row r="3" spans="1:34" s="396" customFormat="1" ht="13.5" customHeight="1" x14ac:dyDescent="0.2">
      <c r="A3" s="395" t="str">
        <f>'FY21'!A3</f>
        <v>Board Approved: Proposed: 4/16/2020</v>
      </c>
      <c r="B3" s="398"/>
      <c r="C3" s="398"/>
      <c r="D3" s="398"/>
      <c r="E3" s="442"/>
      <c r="F3" s="443"/>
      <c r="G3" s="443"/>
      <c r="H3" s="443"/>
      <c r="I3" s="440"/>
      <c r="J3" s="388"/>
      <c r="K3" s="398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434"/>
      <c r="Y3" s="398"/>
      <c r="Z3" s="398"/>
      <c r="AA3" s="400"/>
      <c r="AB3" s="444"/>
      <c r="AC3" s="398"/>
      <c r="AD3" s="398"/>
      <c r="AE3" s="398"/>
      <c r="AG3" s="445"/>
      <c r="AH3" s="445"/>
    </row>
    <row r="4" spans="1:34" s="305" customFormat="1" ht="12" x14ac:dyDescent="0.2">
      <c r="B4" s="307"/>
      <c r="E4" s="324"/>
      <c r="F4" s="382"/>
      <c r="G4" s="382"/>
      <c r="H4" s="382"/>
      <c r="I4" s="346"/>
      <c r="K4" s="446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377"/>
      <c r="Z4" s="307"/>
      <c r="AB4" s="307"/>
      <c r="AD4" s="307"/>
      <c r="AG4" s="447"/>
      <c r="AH4" s="447"/>
    </row>
    <row r="5" spans="1:34" s="382" customFormat="1" ht="14.25" customHeight="1" x14ac:dyDescent="0.25">
      <c r="B5" s="710" t="s">
        <v>81</v>
      </c>
      <c r="C5" s="706" t="s">
        <v>79</v>
      </c>
      <c r="D5" s="706" t="s">
        <v>80</v>
      </c>
      <c r="E5" s="711" t="s">
        <v>248</v>
      </c>
      <c r="F5" s="706" t="s">
        <v>245</v>
      </c>
      <c r="G5" s="713" t="s">
        <v>597</v>
      </c>
      <c r="H5" s="714"/>
      <c r="I5" s="707" t="s">
        <v>78</v>
      </c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9"/>
      <c r="AG5" s="448" t="s">
        <v>251</v>
      </c>
      <c r="AH5" s="448" t="s">
        <v>254</v>
      </c>
    </row>
    <row r="6" spans="1:34" s="449" customFormat="1" ht="14.25" customHeight="1" x14ac:dyDescent="0.2">
      <c r="B6" s="710"/>
      <c r="C6" s="706"/>
      <c r="D6" s="706"/>
      <c r="E6" s="712"/>
      <c r="F6" s="706"/>
      <c r="G6" s="715"/>
      <c r="H6" s="716"/>
      <c r="I6" s="450" t="s">
        <v>344</v>
      </c>
      <c r="J6" s="451" t="str">
        <f>CONCATENATE('Rev &amp; Enroll'!F7," ","-Full")</f>
        <v>FY21 -Full</v>
      </c>
      <c r="K6" s="452" t="str">
        <f>CONCATENATE('Rev &amp; Enroll'!F7," ","-Partial")</f>
        <v>FY21 -Partial</v>
      </c>
      <c r="L6" s="583" t="s">
        <v>155</v>
      </c>
      <c r="M6" s="583" t="s">
        <v>156</v>
      </c>
      <c r="N6" s="583" t="s">
        <v>157</v>
      </c>
      <c r="O6" s="583" t="s">
        <v>158</v>
      </c>
      <c r="P6" s="583" t="s">
        <v>159</v>
      </c>
      <c r="Q6" s="583" t="s">
        <v>160</v>
      </c>
      <c r="R6" s="583" t="s">
        <v>161</v>
      </c>
      <c r="S6" s="583" t="s">
        <v>162</v>
      </c>
      <c r="T6" s="583" t="s">
        <v>163</v>
      </c>
      <c r="U6" s="583" t="s">
        <v>164</v>
      </c>
      <c r="V6" s="583" t="s">
        <v>165</v>
      </c>
      <c r="W6" s="583" t="s">
        <v>166</v>
      </c>
      <c r="X6" s="706" t="str">
        <f>'Rev &amp; Enroll'!H7</f>
        <v>FY22</v>
      </c>
      <c r="Y6" s="706"/>
      <c r="Z6" s="706" t="str">
        <f>'Rev &amp; Enroll'!J7</f>
        <v>FY23</v>
      </c>
      <c r="AA6" s="706"/>
      <c r="AB6" s="706" t="str">
        <f>'Rev &amp; Enroll'!L7</f>
        <v>FY24</v>
      </c>
      <c r="AC6" s="706"/>
      <c r="AD6" s="706" t="str">
        <f>'Rev &amp; Enroll'!N7</f>
        <v>FY25</v>
      </c>
      <c r="AE6" s="706"/>
      <c r="AG6" s="447"/>
      <c r="AH6" s="447"/>
    </row>
    <row r="7" spans="1:34" s="453" customFormat="1" ht="12" x14ac:dyDescent="0.2">
      <c r="E7" s="454"/>
      <c r="F7" s="453" t="s">
        <v>136</v>
      </c>
      <c r="I7" s="455"/>
      <c r="J7" s="456"/>
      <c r="K7" s="457" t="s">
        <v>84</v>
      </c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458"/>
      <c r="Y7" s="459">
        <v>0.02</v>
      </c>
      <c r="Z7" s="460"/>
      <c r="AA7" s="459">
        <v>0.02</v>
      </c>
      <c r="AB7" s="460"/>
      <c r="AC7" s="459">
        <v>0.02</v>
      </c>
      <c r="AD7" s="460"/>
      <c r="AE7" s="459">
        <v>0.02</v>
      </c>
      <c r="AG7" s="447"/>
      <c r="AH7" s="447"/>
    </row>
    <row r="8" spans="1:34" s="305" customFormat="1" ht="12" outlineLevel="1" x14ac:dyDescent="0.2">
      <c r="B8" s="306" t="s">
        <v>44</v>
      </c>
      <c r="C8" s="314" t="s">
        <v>96</v>
      </c>
      <c r="E8" s="324"/>
      <c r="F8" s="382"/>
      <c r="G8" s="382"/>
      <c r="H8" s="382"/>
      <c r="I8" s="346"/>
      <c r="J8" s="461"/>
      <c r="K8" s="446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377"/>
      <c r="Z8" s="307"/>
      <c r="AB8" s="307"/>
      <c r="AD8" s="307"/>
      <c r="AG8" s="447"/>
      <c r="AH8" s="447"/>
    </row>
    <row r="9" spans="1:34" s="305" customFormat="1" ht="12" outlineLevel="1" x14ac:dyDescent="0.2">
      <c r="B9" s="307"/>
      <c r="C9" s="462" t="s">
        <v>79</v>
      </c>
      <c r="D9" s="462" t="s">
        <v>316</v>
      </c>
      <c r="E9" s="463" t="s">
        <v>340</v>
      </c>
      <c r="F9" s="463" t="s">
        <v>341</v>
      </c>
      <c r="G9" s="463" t="s">
        <v>81</v>
      </c>
      <c r="H9" s="463"/>
      <c r="I9" s="464" t="s">
        <v>393</v>
      </c>
      <c r="J9" s="451" t="str">
        <f>$J$6</f>
        <v>FY21 -Full</v>
      </c>
      <c r="K9" s="452" t="str">
        <f>$K$6</f>
        <v>FY21 -Partial</v>
      </c>
      <c r="L9" s="585" t="s">
        <v>155</v>
      </c>
      <c r="M9" s="585" t="s">
        <v>156</v>
      </c>
      <c r="N9" s="585" t="s">
        <v>157</v>
      </c>
      <c r="O9" s="585" t="s">
        <v>158</v>
      </c>
      <c r="P9" s="585" t="s">
        <v>159</v>
      </c>
      <c r="Q9" s="585" t="s">
        <v>160</v>
      </c>
      <c r="R9" s="585" t="s">
        <v>161</v>
      </c>
      <c r="S9" s="585" t="s">
        <v>162</v>
      </c>
      <c r="T9" s="585" t="s">
        <v>163</v>
      </c>
      <c r="U9" s="585" t="s">
        <v>164</v>
      </c>
      <c r="V9" s="585" t="s">
        <v>165</v>
      </c>
      <c r="W9" s="585" t="s">
        <v>166</v>
      </c>
      <c r="X9" s="660" t="str">
        <f t="shared" ref="X9" si="0">IF(I9="","",I9)</f>
        <v>Y/N</v>
      </c>
      <c r="Y9" s="661" t="str">
        <f>$X$6</f>
        <v>FY22</v>
      </c>
      <c r="Z9" s="662" t="str">
        <f>IF(X9="","",X9)</f>
        <v>Y/N</v>
      </c>
      <c r="AA9" s="661" t="str">
        <f>$Z$6</f>
        <v>FY23</v>
      </c>
      <c r="AB9" s="662" t="str">
        <f>IF(Z9="","",Z9)</f>
        <v>Y/N</v>
      </c>
      <c r="AC9" s="661" t="str">
        <f>$AB$6</f>
        <v>FY24</v>
      </c>
      <c r="AD9" s="662" t="str">
        <f>IF(AB9="","",AB9)</f>
        <v>Y/N</v>
      </c>
      <c r="AE9" s="661" t="str">
        <f>$AD$6</f>
        <v>FY25</v>
      </c>
      <c r="AG9" s="447"/>
      <c r="AH9" s="447"/>
    </row>
    <row r="10" spans="1:34" s="305" customFormat="1" ht="12" outlineLevel="1" x14ac:dyDescent="0.2">
      <c r="B10" s="307"/>
      <c r="C10" s="536" t="s">
        <v>549</v>
      </c>
      <c r="D10" s="536" t="s">
        <v>548</v>
      </c>
      <c r="E10" s="537">
        <v>45000</v>
      </c>
      <c r="F10" s="538" t="s">
        <v>508</v>
      </c>
      <c r="G10" s="673"/>
      <c r="H10" s="674">
        <f>IF(COUNTA(G10)=1,K10,0)</f>
        <v>0</v>
      </c>
      <c r="I10" s="539" t="s">
        <v>509</v>
      </c>
      <c r="J10" s="466">
        <f>IF(E10="","",IF(F10="ER",E10*(1-$E$85),E10*$E$84))</f>
        <v>51841.214999999997</v>
      </c>
      <c r="K10" s="467">
        <f t="shared" ref="K10:K11" si="1">IF(J10="","",J10/12*SUM(L10:W10))</f>
        <v>51841.214999999997</v>
      </c>
      <c r="L10" s="586">
        <v>1</v>
      </c>
      <c r="M10" s="586">
        <v>1</v>
      </c>
      <c r="N10" s="586">
        <v>1</v>
      </c>
      <c r="O10" s="586">
        <v>1</v>
      </c>
      <c r="P10" s="586">
        <v>1</v>
      </c>
      <c r="Q10" s="586">
        <v>1</v>
      </c>
      <c r="R10" s="586">
        <v>1</v>
      </c>
      <c r="S10" s="586">
        <v>1</v>
      </c>
      <c r="T10" s="586">
        <v>1</v>
      </c>
      <c r="U10" s="586">
        <v>1</v>
      </c>
      <c r="V10" s="586">
        <v>1</v>
      </c>
      <c r="W10" s="586">
        <v>1</v>
      </c>
      <c r="X10" s="465" t="str">
        <f t="shared" ref="X10:X11" si="2">IF(I10="","",I10)</f>
        <v>Y</v>
      </c>
      <c r="Y10" s="468">
        <f t="shared" ref="Y10:Y11" si="3">IF(J10="","",J10*(1+Y$7))</f>
        <v>52878.039299999997</v>
      </c>
      <c r="Z10" s="469" t="str">
        <f t="shared" ref="Z10:Z11" si="4">IF(X10="","",X10)</f>
        <v>Y</v>
      </c>
      <c r="AA10" s="468">
        <f t="shared" ref="AA10:AA11" si="5">IF(Y10="","",Y10*(1+AA$7))</f>
        <v>53935.600085999999</v>
      </c>
      <c r="AB10" s="469" t="str">
        <f t="shared" ref="AB10:AB11" si="6">IF(Z10="","",Z10)</f>
        <v>Y</v>
      </c>
      <c r="AC10" s="468">
        <f t="shared" ref="AC10:AC11" si="7">IF(AA10="","",AA10*(1+AC$7))</f>
        <v>55014.312087719998</v>
      </c>
      <c r="AD10" s="469" t="str">
        <f t="shared" ref="AD10:AD11" si="8">IF(AB10="","",AB10)</f>
        <v>Y</v>
      </c>
      <c r="AE10" s="468">
        <f t="shared" ref="AE10:AE11" si="9">IF(AC10="","",AC10*(1+AE$7))</f>
        <v>56114.5983294744</v>
      </c>
      <c r="AG10" s="447"/>
      <c r="AH10" s="447"/>
    </row>
    <row r="11" spans="1:34" s="305" customFormat="1" ht="12" outlineLevel="1" x14ac:dyDescent="0.2">
      <c r="B11" s="307"/>
      <c r="C11" s="536" t="s">
        <v>550</v>
      </c>
      <c r="D11" s="536" t="s">
        <v>548</v>
      </c>
      <c r="E11" s="537">
        <v>50000</v>
      </c>
      <c r="F11" s="538" t="s">
        <v>508</v>
      </c>
      <c r="G11" s="673"/>
      <c r="H11" s="674">
        <f t="shared" ref="H11:H12" si="10">IF(COUNTA(G11)=1,K11,0)</f>
        <v>0</v>
      </c>
      <c r="I11" s="539" t="s">
        <v>509</v>
      </c>
      <c r="J11" s="466">
        <f>IF(E11="","",IF(F11="ER",E11*(1-$E$85),E11*$E$84))</f>
        <v>57601.35</v>
      </c>
      <c r="K11" s="467">
        <f t="shared" si="1"/>
        <v>57601.350000000006</v>
      </c>
      <c r="L11" s="586">
        <v>1</v>
      </c>
      <c r="M11" s="586">
        <v>1</v>
      </c>
      <c r="N11" s="586">
        <v>1</v>
      </c>
      <c r="O11" s="586">
        <v>1</v>
      </c>
      <c r="P11" s="586">
        <v>1</v>
      </c>
      <c r="Q11" s="586">
        <v>1</v>
      </c>
      <c r="R11" s="586">
        <v>1</v>
      </c>
      <c r="S11" s="586">
        <v>1</v>
      </c>
      <c r="T11" s="586">
        <v>1</v>
      </c>
      <c r="U11" s="586">
        <v>1</v>
      </c>
      <c r="V11" s="586">
        <v>1</v>
      </c>
      <c r="W11" s="586">
        <v>1</v>
      </c>
      <c r="X11" s="465" t="str">
        <f t="shared" si="2"/>
        <v>Y</v>
      </c>
      <c r="Y11" s="468">
        <f t="shared" si="3"/>
        <v>58753.377</v>
      </c>
      <c r="Z11" s="469" t="str">
        <f t="shared" si="4"/>
        <v>Y</v>
      </c>
      <c r="AA11" s="468">
        <f t="shared" si="5"/>
        <v>59928.444540000004</v>
      </c>
      <c r="AB11" s="469" t="str">
        <f t="shared" si="6"/>
        <v>Y</v>
      </c>
      <c r="AC11" s="468">
        <f t="shared" si="7"/>
        <v>61127.013430800005</v>
      </c>
      <c r="AD11" s="469" t="str">
        <f t="shared" si="8"/>
        <v>Y</v>
      </c>
      <c r="AE11" s="468">
        <f t="shared" si="9"/>
        <v>62349.553699416007</v>
      </c>
      <c r="AG11" s="447"/>
      <c r="AH11" s="447"/>
    </row>
    <row r="12" spans="1:34" s="305" customFormat="1" ht="12" outlineLevel="1" x14ac:dyDescent="0.2">
      <c r="B12" s="307"/>
      <c r="C12" s="540"/>
      <c r="D12" s="540"/>
      <c r="E12" s="541"/>
      <c r="F12" s="542"/>
      <c r="G12" s="673"/>
      <c r="H12" s="674">
        <f t="shared" si="10"/>
        <v>0</v>
      </c>
      <c r="I12" s="543"/>
      <c r="J12" s="466"/>
      <c r="K12" s="467" t="str">
        <f t="shared" ref="K12" si="11">IF(J12="","",J12/12*SUM(L12:W12))</f>
        <v/>
      </c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465" t="str">
        <f t="shared" ref="X12" si="12">IF(I12="","",I12)</f>
        <v/>
      </c>
      <c r="Y12" s="468" t="str">
        <f>IF(J12="","",J12*(1+Y$7))</f>
        <v/>
      </c>
      <c r="Z12" s="469" t="str">
        <f t="shared" ref="Z12" si="13">IF(X12="","",X12)</f>
        <v/>
      </c>
      <c r="AA12" s="468" t="str">
        <f t="shared" ref="AA12" si="14">IF(Y12="","",Y12*(1+AA$7))</f>
        <v/>
      </c>
      <c r="AB12" s="469" t="str">
        <f t="shared" ref="AB12:AD12" si="15">IF(Z12="","",Z12)</f>
        <v/>
      </c>
      <c r="AC12" s="468" t="str">
        <f t="shared" ref="AC12" si="16">IF(AA12="","",AA12*(1+AC$7))</f>
        <v/>
      </c>
      <c r="AD12" s="469" t="str">
        <f t="shared" si="15"/>
        <v/>
      </c>
      <c r="AE12" s="468" t="str">
        <f t="shared" ref="AE12" si="17">IF(AC12="","",AC12*(1+AE$7))</f>
        <v/>
      </c>
      <c r="AG12" s="447"/>
      <c r="AH12" s="447"/>
    </row>
    <row r="13" spans="1:34" s="305" customFormat="1" ht="6.6" customHeight="1" outlineLevel="1" thickBot="1" x14ac:dyDescent="0.25">
      <c r="B13" s="307"/>
      <c r="C13" s="309"/>
      <c r="D13" s="309"/>
      <c r="E13" s="308"/>
      <c r="F13" s="471"/>
      <c r="G13" s="471"/>
      <c r="H13" s="471"/>
      <c r="I13" s="472"/>
      <c r="J13" s="473"/>
      <c r="K13" s="474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376"/>
      <c r="Y13" s="475"/>
      <c r="Z13" s="310"/>
      <c r="AA13" s="475"/>
      <c r="AB13" s="310"/>
      <c r="AC13" s="475"/>
      <c r="AD13" s="310"/>
      <c r="AE13" s="475"/>
      <c r="AG13" s="447"/>
      <c r="AH13" s="447"/>
    </row>
    <row r="14" spans="1:34" s="314" customFormat="1" ht="12.75" thickBot="1" x14ac:dyDescent="0.25">
      <c r="B14" s="306"/>
      <c r="C14" s="309" t="str">
        <f>C8</f>
        <v>Salaries: Teachers</v>
      </c>
      <c r="D14" s="476"/>
      <c r="E14" s="477"/>
      <c r="F14" s="651">
        <v>6111</v>
      </c>
      <c r="G14" s="651"/>
      <c r="H14" s="651"/>
      <c r="I14" s="652">
        <f>COUNTIF(I10:I12,"Y")</f>
        <v>2</v>
      </c>
      <c r="J14" s="653">
        <f>SUBTOTAL(9,J10:J13)</f>
        <v>109442.565</v>
      </c>
      <c r="K14" s="654">
        <f>SUBTOTAL(9,K10:K13)</f>
        <v>109442.565</v>
      </c>
      <c r="L14" s="623">
        <f>SUMPRODUCT(Payroll!$J$10:$J$13,Payroll!L10:L13)/12</f>
        <v>9120.2137500000008</v>
      </c>
      <c r="M14" s="623">
        <f>SUMPRODUCT(Payroll!$J$10:$J$13,Payroll!M10:M13)/12</f>
        <v>9120.2137500000008</v>
      </c>
      <c r="N14" s="623">
        <f>SUMPRODUCT(Payroll!$J$10:$J$13,Payroll!N10:N13)/12</f>
        <v>9120.2137500000008</v>
      </c>
      <c r="O14" s="623">
        <f>SUMPRODUCT(Payroll!$J$10:$J$13,Payroll!O10:O13)/12</f>
        <v>9120.2137500000008</v>
      </c>
      <c r="P14" s="623">
        <f>SUMPRODUCT(Payroll!$J$10:$J$13,Payroll!P10:P13)/12</f>
        <v>9120.2137500000008</v>
      </c>
      <c r="Q14" s="623">
        <f>SUMPRODUCT(Payroll!$J$10:$J$13,Payroll!Q10:Q13)/12</f>
        <v>9120.2137500000008</v>
      </c>
      <c r="R14" s="623">
        <f>SUMPRODUCT(Payroll!$J$10:$J$13,Payroll!R10:R13)/12</f>
        <v>9120.2137500000008</v>
      </c>
      <c r="S14" s="623">
        <f>SUMPRODUCT(Payroll!$J$10:$J$13,Payroll!S10:S13)/12</f>
        <v>9120.2137500000008</v>
      </c>
      <c r="T14" s="623">
        <f>SUMPRODUCT(Payroll!$J$10:$J$13,Payroll!T10:T13)/12</f>
        <v>9120.2137500000008</v>
      </c>
      <c r="U14" s="623">
        <f>SUMPRODUCT(Payroll!$J$10:$J$13,Payroll!U10:U13)/12</f>
        <v>9120.2137500000008</v>
      </c>
      <c r="V14" s="623">
        <f>SUMPRODUCT(Payroll!$J$10:$J$13,Payroll!V10:V13)/12</f>
        <v>9120.2137500000008</v>
      </c>
      <c r="W14" s="623">
        <f>SUMPRODUCT(Payroll!$J$10:$J$13,Payroll!W10:W13)/12</f>
        <v>9120.2137500000008</v>
      </c>
      <c r="X14" s="478">
        <f>I14</f>
        <v>2</v>
      </c>
      <c r="Y14" s="479">
        <f>SUBTOTAL(9,Y9:Y13)</f>
        <v>111631.4163</v>
      </c>
      <c r="Z14" s="480">
        <f>COUNTIF(Z9:Z13,"y")</f>
        <v>2</v>
      </c>
      <c r="AA14" s="479">
        <f>SUBTOTAL(9,AA9:AA13)</f>
        <v>113864.044626</v>
      </c>
      <c r="AB14" s="480">
        <f>COUNTIF(AB9:AB13,"y")</f>
        <v>2</v>
      </c>
      <c r="AC14" s="479">
        <f>SUBTOTAL(9,AC9:AC13)</f>
        <v>116141.32551852</v>
      </c>
      <c r="AD14" s="480">
        <f>COUNTIF(AD9:AD13,"y")</f>
        <v>2</v>
      </c>
      <c r="AE14" s="479">
        <f>SUBTOTAL(9,AE9:AE13)</f>
        <v>118464.15202889041</v>
      </c>
      <c r="AG14" s="481">
        <v>0.01</v>
      </c>
      <c r="AH14" s="481">
        <f>K14-AG14</f>
        <v>109442.55500000001</v>
      </c>
    </row>
    <row r="15" spans="1:34" s="305" customFormat="1" ht="12" outlineLevel="1" x14ac:dyDescent="0.2">
      <c r="B15" s="306" t="s">
        <v>45</v>
      </c>
      <c r="C15" s="314" t="s">
        <v>201</v>
      </c>
      <c r="E15" s="324"/>
      <c r="F15" s="482"/>
      <c r="G15" s="482"/>
      <c r="H15" s="482"/>
      <c r="I15" s="346"/>
      <c r="J15" s="461"/>
      <c r="K15" s="446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377"/>
      <c r="Z15" s="307"/>
      <c r="AB15" s="307"/>
      <c r="AD15" s="307"/>
      <c r="AG15" s="447"/>
      <c r="AH15" s="447"/>
    </row>
    <row r="16" spans="1:34" s="305" customFormat="1" ht="12" outlineLevel="1" x14ac:dyDescent="0.2">
      <c r="B16" s="307"/>
      <c r="C16" s="462" t="s">
        <v>79</v>
      </c>
      <c r="D16" s="462" t="s">
        <v>316</v>
      </c>
      <c r="E16" s="463" t="s">
        <v>340</v>
      </c>
      <c r="F16" s="463" t="s">
        <v>341</v>
      </c>
      <c r="G16" s="463" t="s">
        <v>81</v>
      </c>
      <c r="H16" s="463"/>
      <c r="I16" s="464" t="s">
        <v>393</v>
      </c>
      <c r="J16" s="451" t="str">
        <f>$J$6</f>
        <v>FY21 -Full</v>
      </c>
      <c r="K16" s="452" t="str">
        <f>$K$6</f>
        <v>FY21 -Partial</v>
      </c>
      <c r="L16" s="585" t="s">
        <v>155</v>
      </c>
      <c r="M16" s="585" t="s">
        <v>156</v>
      </c>
      <c r="N16" s="585" t="s">
        <v>157</v>
      </c>
      <c r="O16" s="585" t="s">
        <v>158</v>
      </c>
      <c r="P16" s="585" t="s">
        <v>159</v>
      </c>
      <c r="Q16" s="585" t="s">
        <v>160</v>
      </c>
      <c r="R16" s="585" t="s">
        <v>161</v>
      </c>
      <c r="S16" s="585" t="s">
        <v>162</v>
      </c>
      <c r="T16" s="585" t="s">
        <v>163</v>
      </c>
      <c r="U16" s="585" t="s">
        <v>164</v>
      </c>
      <c r="V16" s="585" t="s">
        <v>165</v>
      </c>
      <c r="W16" s="585" t="s">
        <v>166</v>
      </c>
      <c r="X16" s="660" t="str">
        <f t="shared" ref="X16" si="18">IF(I16="","",I16)</f>
        <v>Y/N</v>
      </c>
      <c r="Y16" s="661" t="str">
        <f>$X$6</f>
        <v>FY22</v>
      </c>
      <c r="Z16" s="662" t="str">
        <f>IF(X16="","",X16)</f>
        <v>Y/N</v>
      </c>
      <c r="AA16" s="661" t="str">
        <f>$Z$6</f>
        <v>FY23</v>
      </c>
      <c r="AB16" s="662" t="str">
        <f>IF(Z16="","",Z16)</f>
        <v>Y/N</v>
      </c>
      <c r="AC16" s="661" t="str">
        <f>$AB$6</f>
        <v>FY24</v>
      </c>
      <c r="AD16" s="662" t="str">
        <f>IF(AB16="","",AB16)</f>
        <v>Y/N</v>
      </c>
      <c r="AE16" s="661" t="str">
        <f>$AD$6</f>
        <v>FY25</v>
      </c>
      <c r="AG16" s="447"/>
      <c r="AH16" s="447"/>
    </row>
    <row r="17" spans="2:34" s="305" customFormat="1" ht="12" outlineLevel="1" x14ac:dyDescent="0.2">
      <c r="B17" s="307"/>
      <c r="C17" s="536" t="s">
        <v>551</v>
      </c>
      <c r="D17" s="536" t="s">
        <v>511</v>
      </c>
      <c r="E17" s="537">
        <v>99000</v>
      </c>
      <c r="F17" s="538" t="s">
        <v>530</v>
      </c>
      <c r="G17" s="673"/>
      <c r="H17" s="674">
        <f t="shared" ref="H17:H18" si="19">IF(COUNTA(G17)=1,K17,0)</f>
        <v>0</v>
      </c>
      <c r="I17" s="539" t="s">
        <v>509</v>
      </c>
      <c r="J17" s="466">
        <f>IF(E17="","",IF(F17="ER",E17*(1-$E$85),E17*$E$84))</f>
        <v>98381.25</v>
      </c>
      <c r="K17" s="467">
        <f t="shared" ref="K17" si="20">IF(J17="","",J17/12*SUM(L17:W17))</f>
        <v>98381.25</v>
      </c>
      <c r="L17" s="586">
        <v>1</v>
      </c>
      <c r="M17" s="586">
        <v>1</v>
      </c>
      <c r="N17" s="586">
        <v>1</v>
      </c>
      <c r="O17" s="586">
        <v>1</v>
      </c>
      <c r="P17" s="586">
        <v>1</v>
      </c>
      <c r="Q17" s="586">
        <v>1</v>
      </c>
      <c r="R17" s="586">
        <v>1</v>
      </c>
      <c r="S17" s="586">
        <v>1</v>
      </c>
      <c r="T17" s="586">
        <v>1</v>
      </c>
      <c r="U17" s="586">
        <v>1</v>
      </c>
      <c r="V17" s="586">
        <v>1</v>
      </c>
      <c r="W17" s="586">
        <v>1</v>
      </c>
      <c r="X17" s="465" t="str">
        <f t="shared" ref="X17:X18" si="21">IF(I17="","",I17)</f>
        <v>Y</v>
      </c>
      <c r="Y17" s="468">
        <f>IF(J17="","",J17*(1+Y$7))</f>
        <v>100348.875</v>
      </c>
      <c r="Z17" s="469" t="str">
        <f t="shared" ref="Z17" si="22">IF(X17="","",X17)</f>
        <v>Y</v>
      </c>
      <c r="AA17" s="468">
        <f>IF(Y17="","",Y17*(1+AA$7))</f>
        <v>102355.85250000001</v>
      </c>
      <c r="AB17" s="469" t="str">
        <f t="shared" ref="AB17" si="23">IF(Z17="","",Z17)</f>
        <v>Y</v>
      </c>
      <c r="AC17" s="468">
        <f>IF(AA17="","",AA17*(1+AC$7))</f>
        <v>104402.96955000001</v>
      </c>
      <c r="AD17" s="469" t="str">
        <f t="shared" ref="AD17" si="24">IF(AB17="","",AB17)</f>
        <v>Y</v>
      </c>
      <c r="AE17" s="468">
        <f>IF(AC17="","",AC17*(1+AE$7))</f>
        <v>106491.02894100001</v>
      </c>
      <c r="AG17" s="447"/>
      <c r="AH17" s="447"/>
    </row>
    <row r="18" spans="2:34" s="305" customFormat="1" ht="12" outlineLevel="1" x14ac:dyDescent="0.2">
      <c r="B18" s="307"/>
      <c r="C18" s="540"/>
      <c r="D18" s="540"/>
      <c r="E18" s="541"/>
      <c r="F18" s="542"/>
      <c r="G18" s="673"/>
      <c r="H18" s="674">
        <f t="shared" si="19"/>
        <v>0</v>
      </c>
      <c r="I18" s="644"/>
      <c r="J18" s="466"/>
      <c r="K18" s="467" t="str">
        <f t="shared" ref="K18" si="25">IF(J18="","",J18/12*SUM(L18:W18))</f>
        <v/>
      </c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465" t="str">
        <f t="shared" si="21"/>
        <v/>
      </c>
      <c r="Y18" s="468" t="str">
        <f t="shared" ref="Y18" si="26">IF(J18="","",J18*(1+Y$7))</f>
        <v/>
      </c>
      <c r="Z18" s="469" t="str">
        <f t="shared" ref="Z18" si="27">IF(X18="","",X18)</f>
        <v/>
      </c>
      <c r="AA18" s="468" t="str">
        <f t="shared" ref="AA18" si="28">IF(Y18="","",Y18*(1+AA$7))</f>
        <v/>
      </c>
      <c r="AB18" s="469" t="str">
        <f t="shared" ref="AB18" si="29">IF(Z18="","",Z18)</f>
        <v/>
      </c>
      <c r="AC18" s="468" t="str">
        <f t="shared" ref="AC18" si="30">IF(AA18="","",AA18*(1+AC$7))</f>
        <v/>
      </c>
      <c r="AD18" s="469" t="str">
        <f t="shared" ref="AD18" si="31">IF(AB18="","",AB18)</f>
        <v/>
      </c>
      <c r="AE18" s="468" t="str">
        <f t="shared" ref="AE18" si="32">IF(AC18="","",AC18*(1+AE$7))</f>
        <v/>
      </c>
      <c r="AG18" s="447"/>
      <c r="AH18" s="447"/>
    </row>
    <row r="19" spans="2:34" s="305" customFormat="1" ht="6.6" customHeight="1" outlineLevel="1" thickBot="1" x14ac:dyDescent="0.25">
      <c r="B19" s="307"/>
      <c r="C19" s="309"/>
      <c r="D19" s="309"/>
      <c r="E19" s="308"/>
      <c r="F19" s="483"/>
      <c r="G19" s="483"/>
      <c r="H19" s="483"/>
      <c r="I19" s="472"/>
      <c r="J19" s="473"/>
      <c r="K19" s="474"/>
      <c r="L19" s="588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376"/>
      <c r="Y19" s="475"/>
      <c r="Z19" s="310"/>
      <c r="AA19" s="475"/>
      <c r="AB19" s="310"/>
      <c r="AC19" s="475"/>
      <c r="AD19" s="310"/>
      <c r="AE19" s="475"/>
      <c r="AG19" s="447"/>
      <c r="AH19" s="447"/>
    </row>
    <row r="20" spans="2:34" s="314" customFormat="1" ht="12.75" thickBot="1" x14ac:dyDescent="0.25">
      <c r="B20" s="306"/>
      <c r="C20" s="309" t="str">
        <f>C15</f>
        <v>Salaries: Licensed Admin</v>
      </c>
      <c r="D20" s="476"/>
      <c r="E20" s="477"/>
      <c r="F20" s="651">
        <v>6114</v>
      </c>
      <c r="G20" s="651"/>
      <c r="H20" s="651"/>
      <c r="I20" s="652">
        <f>COUNTIF(I17:I18,"Y")</f>
        <v>1</v>
      </c>
      <c r="J20" s="653">
        <f>SUBTOTAL(9,J16:J19)</f>
        <v>98381.25</v>
      </c>
      <c r="K20" s="654">
        <f>SUBTOTAL(9,K16:K19)</f>
        <v>98381.25</v>
      </c>
      <c r="L20" s="623">
        <f>SUMPRODUCT(Payroll!$J$17:$J$19,Payroll!L17:L19)/12</f>
        <v>8198.4375</v>
      </c>
      <c r="M20" s="623">
        <f>SUMPRODUCT(Payroll!$J$17:$J$19,Payroll!M17:M19)/12</f>
        <v>8198.4375</v>
      </c>
      <c r="N20" s="623">
        <f>SUMPRODUCT(Payroll!$J$17:$J$19,Payroll!N17:N19)/12</f>
        <v>8198.4375</v>
      </c>
      <c r="O20" s="623">
        <f>SUMPRODUCT(Payroll!$J$17:$J$19,Payroll!O17:O19)/12</f>
        <v>8198.4375</v>
      </c>
      <c r="P20" s="623">
        <f>SUMPRODUCT(Payroll!$J$17:$J$19,Payroll!P17:P19)/12</f>
        <v>8198.4375</v>
      </c>
      <c r="Q20" s="623">
        <f>SUMPRODUCT(Payroll!$J$17:$J$19,Payroll!Q17:Q19)/12</f>
        <v>8198.4375</v>
      </c>
      <c r="R20" s="623">
        <f>SUMPRODUCT(Payroll!$J$17:$J$19,Payroll!R17:R19)/12</f>
        <v>8198.4375</v>
      </c>
      <c r="S20" s="623">
        <f>SUMPRODUCT(Payroll!$J$17:$J$19,Payroll!S17:S19)/12</f>
        <v>8198.4375</v>
      </c>
      <c r="T20" s="623">
        <f>SUMPRODUCT(Payroll!$J$17:$J$19,Payroll!T17:T19)/12</f>
        <v>8198.4375</v>
      </c>
      <c r="U20" s="623">
        <f>SUMPRODUCT(Payroll!$J$17:$J$19,Payroll!U17:U19)/12</f>
        <v>8198.4375</v>
      </c>
      <c r="V20" s="623">
        <f>SUMPRODUCT(Payroll!$J$17:$J$19,Payroll!V17:V19)/12</f>
        <v>8198.4375</v>
      </c>
      <c r="W20" s="623">
        <f>SUMPRODUCT(Payroll!$J$17:$J$19,Payroll!W17:W19)/12</f>
        <v>8198.4375</v>
      </c>
      <c r="X20" s="478">
        <f>I20</f>
        <v>1</v>
      </c>
      <c r="Y20" s="479">
        <f>SUBTOTAL(9,Y16:Y19)</f>
        <v>100348.875</v>
      </c>
      <c r="Z20" s="480">
        <f>COUNTIF(Z16:Z19,"y")</f>
        <v>1</v>
      </c>
      <c r="AA20" s="479">
        <f>SUBTOTAL(9,AA16:AA19)</f>
        <v>102355.85250000001</v>
      </c>
      <c r="AB20" s="480">
        <f>COUNTIF(AB16:AB19,"y")</f>
        <v>1</v>
      </c>
      <c r="AC20" s="479">
        <f>SUBTOTAL(9,AC16:AC19)</f>
        <v>104402.96955000001</v>
      </c>
      <c r="AD20" s="480">
        <f>COUNTIF(AD16:AD19,"y")</f>
        <v>1</v>
      </c>
      <c r="AE20" s="479">
        <f>SUBTOTAL(9,AE16:AE19)</f>
        <v>106491.02894100001</v>
      </c>
      <c r="AG20" s="481">
        <v>0.01</v>
      </c>
      <c r="AH20" s="481">
        <f>K20-AG20</f>
        <v>98381.24</v>
      </c>
    </row>
    <row r="21" spans="2:34" s="305" customFormat="1" ht="12" outlineLevel="1" x14ac:dyDescent="0.2">
      <c r="B21" s="306" t="s">
        <v>46</v>
      </c>
      <c r="C21" s="314" t="s">
        <v>212</v>
      </c>
      <c r="E21" s="324"/>
      <c r="F21" s="482"/>
      <c r="G21" s="482"/>
      <c r="H21" s="482"/>
      <c r="I21" s="346"/>
      <c r="J21" s="461"/>
      <c r="K21" s="446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377"/>
      <c r="Z21" s="307"/>
      <c r="AB21" s="307"/>
      <c r="AD21" s="307"/>
      <c r="AG21" s="447"/>
      <c r="AH21" s="447"/>
    </row>
    <row r="22" spans="2:34" s="305" customFormat="1" ht="12" outlineLevel="1" x14ac:dyDescent="0.2">
      <c r="B22" s="307"/>
      <c r="C22" s="462" t="s">
        <v>79</v>
      </c>
      <c r="D22" s="462" t="s">
        <v>316</v>
      </c>
      <c r="E22" s="463" t="s">
        <v>340</v>
      </c>
      <c r="F22" s="463" t="s">
        <v>341</v>
      </c>
      <c r="G22" s="463" t="s">
        <v>81</v>
      </c>
      <c r="H22" s="463"/>
      <c r="I22" s="464" t="s">
        <v>393</v>
      </c>
      <c r="J22" s="451" t="str">
        <f>$J$6</f>
        <v>FY21 -Full</v>
      </c>
      <c r="K22" s="452" t="str">
        <f>$K$6</f>
        <v>FY21 -Partial</v>
      </c>
      <c r="L22" s="585" t="s">
        <v>155</v>
      </c>
      <c r="M22" s="585" t="s">
        <v>156</v>
      </c>
      <c r="N22" s="585" t="s">
        <v>157</v>
      </c>
      <c r="O22" s="585" t="s">
        <v>158</v>
      </c>
      <c r="P22" s="585" t="s">
        <v>159</v>
      </c>
      <c r="Q22" s="585" t="s">
        <v>160</v>
      </c>
      <c r="R22" s="585" t="s">
        <v>161</v>
      </c>
      <c r="S22" s="585" t="s">
        <v>162</v>
      </c>
      <c r="T22" s="585" t="s">
        <v>163</v>
      </c>
      <c r="U22" s="585" t="s">
        <v>164</v>
      </c>
      <c r="V22" s="585" t="s">
        <v>165</v>
      </c>
      <c r="W22" s="585" t="s">
        <v>166</v>
      </c>
      <c r="X22" s="660" t="str">
        <f>IF(I22="","",I22)</f>
        <v>Y/N</v>
      </c>
      <c r="Y22" s="661" t="str">
        <f>$X$6</f>
        <v>FY22</v>
      </c>
      <c r="Z22" s="662" t="str">
        <f>IF(X22="","",X22)</f>
        <v>Y/N</v>
      </c>
      <c r="AA22" s="661" t="str">
        <f>$Z$6</f>
        <v>FY23</v>
      </c>
      <c r="AB22" s="662" t="str">
        <f>IF(Z22="","",Z22)</f>
        <v>Y/N</v>
      </c>
      <c r="AC22" s="661" t="str">
        <f>$AB$6</f>
        <v>FY24</v>
      </c>
      <c r="AD22" s="662" t="str">
        <f>IF(AB22="","",AB22)</f>
        <v>Y/N</v>
      </c>
      <c r="AE22" s="661" t="str">
        <f>$AD$6</f>
        <v>FY25</v>
      </c>
      <c r="AG22" s="447"/>
      <c r="AH22" s="447"/>
    </row>
    <row r="23" spans="2:34" s="305" customFormat="1" ht="12" outlineLevel="1" x14ac:dyDescent="0.2">
      <c r="B23" s="307"/>
      <c r="C23" s="536" t="s">
        <v>552</v>
      </c>
      <c r="D23" s="536" t="s">
        <v>512</v>
      </c>
      <c r="E23" s="537">
        <v>40000</v>
      </c>
      <c r="F23" s="538" t="s">
        <v>508</v>
      </c>
      <c r="G23" s="673"/>
      <c r="H23" s="674">
        <f t="shared" ref="H23:H24" si="33">IF(COUNTA(G23)=1,K23,0)</f>
        <v>0</v>
      </c>
      <c r="I23" s="539" t="s">
        <v>509</v>
      </c>
      <c r="J23" s="466">
        <f>IF(E23="","",IF(F23="ER",E23*(1-$E$85),E23*$E$84))</f>
        <v>46081.079999999994</v>
      </c>
      <c r="K23" s="467">
        <f t="shared" ref="K23" si="34">IF(J23="","",J23/12*SUM(L23:W23))</f>
        <v>46081.079999999994</v>
      </c>
      <c r="L23" s="586">
        <v>1</v>
      </c>
      <c r="M23" s="586">
        <v>1</v>
      </c>
      <c r="N23" s="586">
        <v>1</v>
      </c>
      <c r="O23" s="586">
        <v>1</v>
      </c>
      <c r="P23" s="586">
        <v>1</v>
      </c>
      <c r="Q23" s="586">
        <v>1</v>
      </c>
      <c r="R23" s="586">
        <v>1</v>
      </c>
      <c r="S23" s="586">
        <v>1</v>
      </c>
      <c r="T23" s="586">
        <v>1</v>
      </c>
      <c r="U23" s="586">
        <v>1</v>
      </c>
      <c r="V23" s="586">
        <v>1</v>
      </c>
      <c r="W23" s="586">
        <v>1</v>
      </c>
      <c r="X23" s="465" t="str">
        <f t="shared" ref="X23:X24" si="35">IF(I23="","",I23)</f>
        <v>Y</v>
      </c>
      <c r="Y23" s="468">
        <f>IF(J23="","",J23*(1+Y$7))</f>
        <v>47002.701599999993</v>
      </c>
      <c r="Z23" s="469" t="str">
        <f t="shared" ref="Z23" si="36">IF(X23="","",X23)</f>
        <v>Y</v>
      </c>
      <c r="AA23" s="468">
        <f>IF(Y23="","",Y23*(1+AA$7))</f>
        <v>47942.755631999993</v>
      </c>
      <c r="AB23" s="469" t="str">
        <f t="shared" ref="AB23" si="37">IF(Z23="","",Z23)</f>
        <v>Y</v>
      </c>
      <c r="AC23" s="468">
        <f>IF(AA23="","",AA23*(1+AC$7))</f>
        <v>48901.610744639991</v>
      </c>
      <c r="AD23" s="469" t="str">
        <f t="shared" ref="AD23" si="38">IF(AB23="","",AB23)</f>
        <v>Y</v>
      </c>
      <c r="AE23" s="468">
        <f>IF(AC23="","",AC23*(1+AE$7))</f>
        <v>49879.642959532794</v>
      </c>
      <c r="AG23" s="447"/>
      <c r="AH23" s="447"/>
    </row>
    <row r="24" spans="2:34" s="305" customFormat="1" ht="12" outlineLevel="1" x14ac:dyDescent="0.2">
      <c r="B24" s="307"/>
      <c r="C24" s="540"/>
      <c r="D24" s="540"/>
      <c r="E24" s="541"/>
      <c r="F24" s="542"/>
      <c r="G24" s="673"/>
      <c r="H24" s="674">
        <f t="shared" si="33"/>
        <v>0</v>
      </c>
      <c r="I24" s="543"/>
      <c r="J24" s="466"/>
      <c r="K24" s="467" t="str">
        <f t="shared" ref="K24" si="39">IF(J24="","",J24/12*SUM(L24:W24))</f>
        <v/>
      </c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465" t="str">
        <f t="shared" si="35"/>
        <v/>
      </c>
      <c r="Y24" s="468" t="str">
        <f t="shared" ref="Y24" si="40">IF(J24="","",J24*(1+Y$7))</f>
        <v/>
      </c>
      <c r="Z24" s="469" t="str">
        <f t="shared" ref="Z24" si="41">IF(X24="","",X24)</f>
        <v/>
      </c>
      <c r="AA24" s="468" t="str">
        <f t="shared" ref="AA24" si="42">IF(Y24="","",Y24*(1+AA$7))</f>
        <v/>
      </c>
      <c r="AB24" s="469" t="str">
        <f t="shared" ref="AB24" si="43">IF(Z24="","",Z24)</f>
        <v/>
      </c>
      <c r="AC24" s="468" t="str">
        <f t="shared" ref="AC24" si="44">IF(AA24="","",AA24*(1+AC$7))</f>
        <v/>
      </c>
      <c r="AD24" s="469" t="str">
        <f t="shared" ref="AD24" si="45">IF(AB24="","",AB24)</f>
        <v/>
      </c>
      <c r="AE24" s="468" t="str">
        <f t="shared" ref="AE24" si="46">IF(AC24="","",AC24*(1+AE$7))</f>
        <v/>
      </c>
      <c r="AG24" s="447"/>
      <c r="AH24" s="447"/>
    </row>
    <row r="25" spans="2:34" s="305" customFormat="1" ht="6.6" customHeight="1" outlineLevel="1" thickBot="1" x14ac:dyDescent="0.25">
      <c r="B25" s="307"/>
      <c r="C25" s="309"/>
      <c r="D25" s="309"/>
      <c r="E25" s="308"/>
      <c r="F25" s="483"/>
      <c r="G25" s="483"/>
      <c r="H25" s="483"/>
      <c r="I25" s="472"/>
      <c r="J25" s="473"/>
      <c r="K25" s="474"/>
      <c r="L25" s="588"/>
      <c r="M25" s="588"/>
      <c r="N25" s="588"/>
      <c r="O25" s="588"/>
      <c r="P25" s="588"/>
      <c r="Q25" s="588"/>
      <c r="R25" s="588"/>
      <c r="S25" s="588"/>
      <c r="T25" s="588"/>
      <c r="U25" s="588"/>
      <c r="V25" s="588"/>
      <c r="W25" s="588"/>
      <c r="X25" s="376"/>
      <c r="Y25" s="475"/>
      <c r="Z25" s="310"/>
      <c r="AA25" s="475"/>
      <c r="AB25" s="310"/>
      <c r="AC25" s="475"/>
      <c r="AD25" s="310"/>
      <c r="AE25" s="475"/>
      <c r="AG25" s="447"/>
      <c r="AH25" s="447"/>
    </row>
    <row r="26" spans="2:34" s="314" customFormat="1" ht="12.75" thickBot="1" x14ac:dyDescent="0.25">
      <c r="B26" s="306"/>
      <c r="C26" s="309" t="str">
        <f>C21</f>
        <v>Salaries: Other Classified/Support Staff</v>
      </c>
      <c r="D26" s="476"/>
      <c r="E26" s="477"/>
      <c r="F26" s="651">
        <v>6117</v>
      </c>
      <c r="G26" s="651"/>
      <c r="H26" s="651"/>
      <c r="I26" s="652">
        <f>COUNTIF(I23:I24,"Y")</f>
        <v>1</v>
      </c>
      <c r="J26" s="653">
        <f>SUBTOTAL(9,J22:J25)</f>
        <v>46081.079999999994</v>
      </c>
      <c r="K26" s="654">
        <f>SUBTOTAL(9,K22:K25)</f>
        <v>46081.079999999994</v>
      </c>
      <c r="L26" s="623">
        <f>SUMPRODUCT(Payroll!$J$23:$J$25,Payroll!L23:L25)/12</f>
        <v>3840.0899999999997</v>
      </c>
      <c r="M26" s="623">
        <f>SUMPRODUCT(Payroll!$J$23:$J$25,Payroll!M23:M25)/12</f>
        <v>3840.0899999999997</v>
      </c>
      <c r="N26" s="623">
        <f>SUMPRODUCT(Payroll!$J$23:$J$25,Payroll!N23:N25)/12</f>
        <v>3840.0899999999997</v>
      </c>
      <c r="O26" s="623">
        <f>SUMPRODUCT(Payroll!$J$23:$J$25,Payroll!O23:O25)/12</f>
        <v>3840.0899999999997</v>
      </c>
      <c r="P26" s="623">
        <f>SUMPRODUCT(Payroll!$J$23:$J$25,Payroll!P23:P25)/12</f>
        <v>3840.0899999999997</v>
      </c>
      <c r="Q26" s="623">
        <f>SUMPRODUCT(Payroll!$J$23:$J$25,Payroll!Q23:Q25)/12</f>
        <v>3840.0899999999997</v>
      </c>
      <c r="R26" s="623">
        <f>SUMPRODUCT(Payroll!$J$23:$J$25,Payroll!R23:R25)/12</f>
        <v>3840.0899999999997</v>
      </c>
      <c r="S26" s="623">
        <f>SUMPRODUCT(Payroll!$J$23:$J$25,Payroll!S23:S25)/12</f>
        <v>3840.0899999999997</v>
      </c>
      <c r="T26" s="623">
        <f>SUMPRODUCT(Payroll!$J$23:$J$25,Payroll!T23:T25)/12</f>
        <v>3840.0899999999997</v>
      </c>
      <c r="U26" s="623">
        <f>SUMPRODUCT(Payroll!$J$23:$J$25,Payroll!U23:U25)/12</f>
        <v>3840.0899999999997</v>
      </c>
      <c r="V26" s="623">
        <f>SUMPRODUCT(Payroll!$J$23:$J$25,Payroll!V23:V25)/12</f>
        <v>3840.0899999999997</v>
      </c>
      <c r="W26" s="623">
        <f>SUMPRODUCT(Payroll!$J$23:$J$25,Payroll!W23:W25)/12</f>
        <v>3840.0899999999997</v>
      </c>
      <c r="X26" s="478">
        <f>I26</f>
        <v>1</v>
      </c>
      <c r="Y26" s="479">
        <f>SUBTOTAL(9,Y22:Y25)</f>
        <v>47002.701599999993</v>
      </c>
      <c r="Z26" s="480">
        <f>COUNTIF(Z22:Z25,"y")</f>
        <v>1</v>
      </c>
      <c r="AA26" s="479">
        <f>SUBTOTAL(9,AA22:AA25)</f>
        <v>47942.755631999993</v>
      </c>
      <c r="AB26" s="480">
        <f>COUNTIF(AB22:AB25,"y")</f>
        <v>1</v>
      </c>
      <c r="AC26" s="479">
        <f>SUBTOTAL(9,AC22:AC25)</f>
        <v>48901.610744639991</v>
      </c>
      <c r="AD26" s="480">
        <f>COUNTIF(AD22:AD25,"y")</f>
        <v>1</v>
      </c>
      <c r="AE26" s="479">
        <f>SUBTOTAL(9,AE22:AE25)</f>
        <v>49879.642959532794</v>
      </c>
      <c r="AG26" s="481">
        <v>0.01</v>
      </c>
      <c r="AH26" s="481">
        <f>K26-AG26</f>
        <v>46081.069999999992</v>
      </c>
    </row>
    <row r="27" spans="2:34" s="305" customFormat="1" ht="12" outlineLevel="1" x14ac:dyDescent="0.2">
      <c r="B27" s="306" t="s">
        <v>47</v>
      </c>
      <c r="C27" s="314" t="s">
        <v>213</v>
      </c>
      <c r="E27" s="324"/>
      <c r="F27" s="482"/>
      <c r="G27" s="482"/>
      <c r="H27" s="482"/>
      <c r="I27" s="346"/>
      <c r="J27" s="461"/>
      <c r="K27" s="446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377"/>
      <c r="Z27" s="307"/>
      <c r="AB27" s="307"/>
      <c r="AD27" s="307"/>
      <c r="AG27" s="447"/>
      <c r="AH27" s="447"/>
    </row>
    <row r="28" spans="2:34" s="305" customFormat="1" ht="12" outlineLevel="1" x14ac:dyDescent="0.2">
      <c r="B28" s="307"/>
      <c r="C28" s="462" t="s">
        <v>79</v>
      </c>
      <c r="D28" s="462" t="s">
        <v>316</v>
      </c>
      <c r="E28" s="463" t="s">
        <v>317</v>
      </c>
      <c r="F28" s="484" t="s">
        <v>84</v>
      </c>
      <c r="G28" s="463" t="s">
        <v>81</v>
      </c>
      <c r="H28" s="484"/>
      <c r="I28" s="484" t="s">
        <v>84</v>
      </c>
      <c r="J28" s="451" t="str">
        <f>$J$6</f>
        <v>FY21 -Full</v>
      </c>
      <c r="K28" s="452" t="str">
        <f>$K$6</f>
        <v>FY21 -Partial</v>
      </c>
      <c r="L28" s="585" t="s">
        <v>155</v>
      </c>
      <c r="M28" s="585" t="s">
        <v>156</v>
      </c>
      <c r="N28" s="585" t="s">
        <v>157</v>
      </c>
      <c r="O28" s="585" t="s">
        <v>158</v>
      </c>
      <c r="P28" s="585" t="s">
        <v>159</v>
      </c>
      <c r="Q28" s="585" t="s">
        <v>160</v>
      </c>
      <c r="R28" s="585" t="s">
        <v>161</v>
      </c>
      <c r="S28" s="585" t="s">
        <v>162</v>
      </c>
      <c r="T28" s="585" t="s">
        <v>163</v>
      </c>
      <c r="U28" s="585" t="s">
        <v>164</v>
      </c>
      <c r="V28" s="585" t="s">
        <v>165</v>
      </c>
      <c r="W28" s="585" t="s">
        <v>166</v>
      </c>
      <c r="X28" s="660"/>
      <c r="Y28" s="661" t="str">
        <f>$X$6</f>
        <v>FY22</v>
      </c>
      <c r="Z28" s="662" t="str">
        <f>IF(X28="","",X28)</f>
        <v/>
      </c>
      <c r="AA28" s="661" t="str">
        <f>$Z$6</f>
        <v>FY23</v>
      </c>
      <c r="AB28" s="662" t="str">
        <f>IF(Z28="","",Z28)</f>
        <v/>
      </c>
      <c r="AC28" s="661" t="str">
        <f>$AB$6</f>
        <v>FY24</v>
      </c>
      <c r="AD28" s="662" t="str">
        <f>IF(AB28="","",AB28)</f>
        <v/>
      </c>
      <c r="AE28" s="661" t="str">
        <f>$AD$6</f>
        <v>FY25</v>
      </c>
      <c r="AG28" s="447"/>
      <c r="AH28" s="447"/>
    </row>
    <row r="29" spans="2:34" s="305" customFormat="1" ht="11.25" customHeight="1" outlineLevel="1" x14ac:dyDescent="0.2">
      <c r="B29" s="307"/>
      <c r="C29" s="536" t="s">
        <v>553</v>
      </c>
      <c r="D29" s="536" t="s">
        <v>532</v>
      </c>
      <c r="E29" s="537">
        <v>10</v>
      </c>
      <c r="F29" s="485" t="s">
        <v>84</v>
      </c>
      <c r="G29" s="673"/>
      <c r="H29" s="674">
        <f t="shared" ref="H29:H30" si="47">IF(COUNTA(G29)=1,K29,0)</f>
        <v>0</v>
      </c>
      <c r="I29" s="485"/>
      <c r="J29" s="466">
        <f t="shared" ref="J29:J30" si="48">E29*20*52</f>
        <v>10400</v>
      </c>
      <c r="K29" s="467">
        <f t="shared" ref="K29:K30" si="49">IF(J29="","",J29/12*SUM(L29:W29))</f>
        <v>10400</v>
      </c>
      <c r="L29" s="586">
        <v>1</v>
      </c>
      <c r="M29" s="586">
        <v>1</v>
      </c>
      <c r="N29" s="586">
        <v>1</v>
      </c>
      <c r="O29" s="586">
        <v>1</v>
      </c>
      <c r="P29" s="586">
        <v>1</v>
      </c>
      <c r="Q29" s="586">
        <v>1</v>
      </c>
      <c r="R29" s="586">
        <v>1</v>
      </c>
      <c r="S29" s="586">
        <v>1</v>
      </c>
      <c r="T29" s="586">
        <v>1</v>
      </c>
      <c r="U29" s="586">
        <v>1</v>
      </c>
      <c r="V29" s="586">
        <v>1</v>
      </c>
      <c r="W29" s="586">
        <v>1</v>
      </c>
      <c r="X29" s="465"/>
      <c r="Y29" s="468">
        <f t="shared" ref="Y29:Y30" si="50">IF(J29="","",J29*(1+Y$7))</f>
        <v>10608</v>
      </c>
      <c r="Z29" s="469"/>
      <c r="AA29" s="468">
        <f t="shared" ref="AA29" si="51">IF(Y29="","",Y29*(1+AA$7))</f>
        <v>10820.16</v>
      </c>
      <c r="AB29" s="469"/>
      <c r="AC29" s="468">
        <f t="shared" ref="AC29:AC30" si="52">IF(AA29="","",AA29*(1+AC$7))</f>
        <v>11036.563200000001</v>
      </c>
      <c r="AD29" s="469"/>
      <c r="AE29" s="468">
        <f t="shared" ref="AE29:AE30" si="53">IF(AC29="","",AC29*(1+AE$7))</f>
        <v>11257.294464000001</v>
      </c>
      <c r="AG29" s="447"/>
      <c r="AH29" s="447"/>
    </row>
    <row r="30" spans="2:34" s="305" customFormat="1" ht="12" outlineLevel="1" x14ac:dyDescent="0.2">
      <c r="B30" s="307"/>
      <c r="C30" s="536" t="s">
        <v>554</v>
      </c>
      <c r="D30" s="536" t="s">
        <v>532</v>
      </c>
      <c r="E30" s="537">
        <v>10</v>
      </c>
      <c r="F30" s="485" t="s">
        <v>84</v>
      </c>
      <c r="G30" s="673"/>
      <c r="H30" s="674">
        <f t="shared" si="47"/>
        <v>0</v>
      </c>
      <c r="I30" s="485" t="s">
        <v>84</v>
      </c>
      <c r="J30" s="466">
        <f t="shared" si="48"/>
        <v>10400</v>
      </c>
      <c r="K30" s="467">
        <f t="shared" si="49"/>
        <v>10400</v>
      </c>
      <c r="L30" s="586">
        <v>1</v>
      </c>
      <c r="M30" s="586">
        <v>1</v>
      </c>
      <c r="N30" s="586">
        <v>1</v>
      </c>
      <c r="O30" s="586">
        <v>1</v>
      </c>
      <c r="P30" s="586">
        <v>1</v>
      </c>
      <c r="Q30" s="586">
        <v>1</v>
      </c>
      <c r="R30" s="586">
        <v>1</v>
      </c>
      <c r="S30" s="586">
        <v>1</v>
      </c>
      <c r="T30" s="586">
        <v>1</v>
      </c>
      <c r="U30" s="586">
        <v>1</v>
      </c>
      <c r="V30" s="586">
        <v>1</v>
      </c>
      <c r="W30" s="586">
        <v>1</v>
      </c>
      <c r="X30" s="465"/>
      <c r="Y30" s="468">
        <f t="shared" si="50"/>
        <v>10608</v>
      </c>
      <c r="Z30" s="469"/>
      <c r="AA30" s="468">
        <f>IF(Y30="","",Y30*(1+AA$7))</f>
        <v>10820.16</v>
      </c>
      <c r="AB30" s="469"/>
      <c r="AC30" s="468">
        <f t="shared" si="52"/>
        <v>11036.563200000001</v>
      </c>
      <c r="AD30" s="469"/>
      <c r="AE30" s="468">
        <f t="shared" si="53"/>
        <v>11257.294464000001</v>
      </c>
      <c r="AG30" s="447"/>
      <c r="AH30" s="447"/>
    </row>
    <row r="31" spans="2:34" s="305" customFormat="1" ht="11.25" customHeight="1" outlineLevel="1" x14ac:dyDescent="0.2">
      <c r="B31" s="307"/>
      <c r="C31" s="536" t="s">
        <v>598</v>
      </c>
      <c r="D31" s="536" t="s">
        <v>532</v>
      </c>
      <c r="E31" s="537">
        <v>9</v>
      </c>
      <c r="F31" s="485" t="s">
        <v>84</v>
      </c>
      <c r="G31" s="673"/>
      <c r="H31" s="674">
        <f t="shared" ref="H31:H33" si="54">IF(COUNTA(G31)=1,K31,0)</f>
        <v>0</v>
      </c>
      <c r="I31" s="485"/>
      <c r="J31" s="466">
        <f t="shared" ref="J31:J32" si="55">E31*20*52</f>
        <v>9360</v>
      </c>
      <c r="K31" s="467">
        <f t="shared" ref="K31:K32" si="56">IF(J31="","",J31/12*SUM(L31:W31))</f>
        <v>9360</v>
      </c>
      <c r="L31" s="586">
        <v>1</v>
      </c>
      <c r="M31" s="586">
        <v>1</v>
      </c>
      <c r="N31" s="586">
        <v>1</v>
      </c>
      <c r="O31" s="586">
        <v>1</v>
      </c>
      <c r="P31" s="586">
        <v>1</v>
      </c>
      <c r="Q31" s="586">
        <v>1</v>
      </c>
      <c r="R31" s="586">
        <v>1</v>
      </c>
      <c r="S31" s="586">
        <v>1</v>
      </c>
      <c r="T31" s="586">
        <v>1</v>
      </c>
      <c r="U31" s="586">
        <v>1</v>
      </c>
      <c r="V31" s="586">
        <v>1</v>
      </c>
      <c r="W31" s="586">
        <v>1</v>
      </c>
      <c r="X31" s="465"/>
      <c r="Y31" s="468">
        <f t="shared" ref="Y31:Y32" si="57">IF(J31="","",J31*(1+Y$7))</f>
        <v>9547.2000000000007</v>
      </c>
      <c r="Z31" s="469"/>
      <c r="AA31" s="468">
        <f t="shared" ref="AA31:AA32" si="58">IF(Y31="","",Y31*(1+AA$7))</f>
        <v>9738.1440000000002</v>
      </c>
      <c r="AB31" s="469"/>
      <c r="AC31" s="468">
        <f t="shared" ref="AC31:AC32" si="59">IF(AA31="","",AA31*(1+AC$7))</f>
        <v>9932.9068800000005</v>
      </c>
      <c r="AD31" s="469"/>
      <c r="AE31" s="468">
        <f t="shared" ref="AE31:AE32" si="60">IF(AC31="","",AC31*(1+AE$7))</f>
        <v>10131.5650176</v>
      </c>
      <c r="AG31" s="447"/>
      <c r="AH31" s="447"/>
    </row>
    <row r="32" spans="2:34" s="305" customFormat="1" ht="12" outlineLevel="1" x14ac:dyDescent="0.2">
      <c r="B32" s="307"/>
      <c r="C32" s="536" t="s">
        <v>599</v>
      </c>
      <c r="D32" s="536" t="s">
        <v>532</v>
      </c>
      <c r="E32" s="537">
        <v>9</v>
      </c>
      <c r="F32" s="485" t="s">
        <v>84</v>
      </c>
      <c r="G32" s="673"/>
      <c r="H32" s="674">
        <f t="shared" si="54"/>
        <v>0</v>
      </c>
      <c r="I32" s="485" t="s">
        <v>84</v>
      </c>
      <c r="J32" s="466">
        <f t="shared" si="55"/>
        <v>9360</v>
      </c>
      <c r="K32" s="467">
        <f t="shared" si="56"/>
        <v>9360</v>
      </c>
      <c r="L32" s="586">
        <v>1</v>
      </c>
      <c r="M32" s="586">
        <v>1</v>
      </c>
      <c r="N32" s="586">
        <v>1</v>
      </c>
      <c r="O32" s="586">
        <v>1</v>
      </c>
      <c r="P32" s="586">
        <v>1</v>
      </c>
      <c r="Q32" s="586">
        <v>1</v>
      </c>
      <c r="R32" s="586">
        <v>1</v>
      </c>
      <c r="S32" s="586">
        <v>1</v>
      </c>
      <c r="T32" s="586">
        <v>1</v>
      </c>
      <c r="U32" s="586">
        <v>1</v>
      </c>
      <c r="V32" s="586">
        <v>1</v>
      </c>
      <c r="W32" s="586">
        <v>1</v>
      </c>
      <c r="X32" s="465"/>
      <c r="Y32" s="468">
        <f t="shared" si="57"/>
        <v>9547.2000000000007</v>
      </c>
      <c r="Z32" s="469"/>
      <c r="AA32" s="468">
        <f t="shared" si="58"/>
        <v>9738.1440000000002</v>
      </c>
      <c r="AB32" s="469"/>
      <c r="AC32" s="468">
        <f t="shared" si="59"/>
        <v>9932.9068800000005</v>
      </c>
      <c r="AD32" s="469"/>
      <c r="AE32" s="468">
        <f t="shared" si="60"/>
        <v>10131.5650176</v>
      </c>
      <c r="AG32" s="447"/>
      <c r="AH32" s="447"/>
    </row>
    <row r="33" spans="2:34" s="305" customFormat="1" ht="12" outlineLevel="1" x14ac:dyDescent="0.2">
      <c r="B33" s="307"/>
      <c r="C33" s="540"/>
      <c r="D33" s="540"/>
      <c r="E33" s="541"/>
      <c r="F33" s="485" t="s">
        <v>84</v>
      </c>
      <c r="G33" s="673"/>
      <c r="H33" s="674">
        <f t="shared" si="54"/>
        <v>0</v>
      </c>
      <c r="I33" s="485" t="s">
        <v>84</v>
      </c>
      <c r="J33" s="466">
        <f t="shared" ref="J33" si="61">E33*20*52</f>
        <v>0</v>
      </c>
      <c r="K33" s="467">
        <f t="shared" ref="K33" si="62">IF(J33="","",J33/12*SUM(L33:W33))</f>
        <v>0</v>
      </c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465"/>
      <c r="Y33" s="468">
        <f t="shared" ref="Y33" si="63">IF(J33="","",J33*(1+Y$7))</f>
        <v>0</v>
      </c>
      <c r="Z33" s="469"/>
      <c r="AA33" s="468">
        <f t="shared" ref="AA33" si="64">IF(Y33="","",Y33*(1+AA$7))</f>
        <v>0</v>
      </c>
      <c r="AB33" s="469"/>
      <c r="AC33" s="468">
        <f t="shared" ref="AC33" si="65">IF(AA33="","",AA33*(1+AC$7))</f>
        <v>0</v>
      </c>
      <c r="AD33" s="469"/>
      <c r="AE33" s="468">
        <f t="shared" ref="AE33" si="66">IF(AC33="","",AC33*(1+AE$7))</f>
        <v>0</v>
      </c>
      <c r="AG33" s="447"/>
      <c r="AH33" s="447"/>
    </row>
    <row r="34" spans="2:34" s="305" customFormat="1" ht="6.6" customHeight="1" outlineLevel="1" thickBot="1" x14ac:dyDescent="0.25">
      <c r="B34" s="307"/>
      <c r="C34" s="309"/>
      <c r="D34" s="309"/>
      <c r="E34" s="308"/>
      <c r="F34" s="483"/>
      <c r="G34" s="483"/>
      <c r="H34" s="483"/>
      <c r="I34" s="472"/>
      <c r="J34" s="473"/>
      <c r="K34" s="474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376"/>
      <c r="Y34" s="475"/>
      <c r="Z34" s="310"/>
      <c r="AA34" s="475"/>
      <c r="AB34" s="310"/>
      <c r="AC34" s="475"/>
      <c r="AD34" s="310"/>
      <c r="AE34" s="475"/>
      <c r="AG34" s="447"/>
      <c r="AH34" s="447"/>
    </row>
    <row r="35" spans="2:34" s="314" customFormat="1" ht="12.75" thickBot="1" x14ac:dyDescent="0.25">
      <c r="B35" s="306"/>
      <c r="C35" s="309" t="str">
        <f>C27</f>
        <v>Temp Salaries: Other Classified/Support Staff</v>
      </c>
      <c r="D35" s="476"/>
      <c r="E35" s="477"/>
      <c r="F35" s="651">
        <v>6127</v>
      </c>
      <c r="G35" s="651"/>
      <c r="H35" s="651"/>
      <c r="I35" s="652"/>
      <c r="J35" s="653">
        <f>SUBTOTAL(9,J28:J34)</f>
        <v>39520</v>
      </c>
      <c r="K35" s="654">
        <f>SUBTOTAL(9,K28:K34)</f>
        <v>39520</v>
      </c>
      <c r="L35" s="623">
        <f>SUMPRODUCT(Payroll!$J$29:$J$34,Payroll!L29:L34)/12</f>
        <v>3293.3333333333335</v>
      </c>
      <c r="M35" s="623">
        <f>SUMPRODUCT(Payroll!$J$29:$J$34,Payroll!M29:M34)/12</f>
        <v>3293.3333333333335</v>
      </c>
      <c r="N35" s="623">
        <f>SUMPRODUCT(Payroll!$J$29:$J$34,Payroll!N29:N34)/12</f>
        <v>3293.3333333333335</v>
      </c>
      <c r="O35" s="623">
        <f>SUMPRODUCT(Payroll!$J$29:$J$34,Payroll!O29:O34)/12</f>
        <v>3293.3333333333335</v>
      </c>
      <c r="P35" s="623">
        <f>SUMPRODUCT(Payroll!$J$29:$J$34,Payroll!P29:P34)/12</f>
        <v>3293.3333333333335</v>
      </c>
      <c r="Q35" s="623">
        <f>SUMPRODUCT(Payroll!$J$29:$J$34,Payroll!Q29:Q34)/12</f>
        <v>3293.3333333333335</v>
      </c>
      <c r="R35" s="623">
        <f>SUMPRODUCT(Payroll!$J$29:$J$34,Payroll!R29:R34)/12</f>
        <v>3293.3333333333335</v>
      </c>
      <c r="S35" s="623">
        <f>SUMPRODUCT(Payroll!$J$29:$J$34,Payroll!S29:S34)/12</f>
        <v>3293.3333333333335</v>
      </c>
      <c r="T35" s="623">
        <f>SUMPRODUCT(Payroll!$J$29:$J$34,Payroll!T29:T34)/12</f>
        <v>3293.3333333333335</v>
      </c>
      <c r="U35" s="623">
        <f>SUMPRODUCT(Payroll!$J$29:$J$34,Payroll!U29:U34)/12</f>
        <v>3293.3333333333335</v>
      </c>
      <c r="V35" s="623">
        <f>SUMPRODUCT(Payroll!$J$29:$J$34,Payroll!V29:V34)/12</f>
        <v>3293.3333333333335</v>
      </c>
      <c r="W35" s="623">
        <f>SUMPRODUCT(Payroll!$J$29:$J$34,Payroll!W29:W34)/12</f>
        <v>3293.3333333333335</v>
      </c>
      <c r="X35" s="478"/>
      <c r="Y35" s="479">
        <f>SUBTOTAL(9,Y28:Y34)</f>
        <v>40310.400000000001</v>
      </c>
      <c r="Z35" s="480"/>
      <c r="AA35" s="479">
        <f>SUBTOTAL(9,AA28:AA34)</f>
        <v>41116.608</v>
      </c>
      <c r="AB35" s="480"/>
      <c r="AC35" s="479">
        <f>SUBTOTAL(9,AC28:AC34)</f>
        <v>41938.940160000006</v>
      </c>
      <c r="AD35" s="480"/>
      <c r="AE35" s="479">
        <f>SUBTOTAL(9,AE28:AE34)</f>
        <v>42777.718963200001</v>
      </c>
      <c r="AG35" s="481">
        <v>0.01</v>
      </c>
      <c r="AH35" s="481">
        <f>K35-AG35</f>
        <v>39519.99</v>
      </c>
    </row>
    <row r="36" spans="2:34" s="305" customFormat="1" ht="12" outlineLevel="1" x14ac:dyDescent="0.2">
      <c r="B36" s="306" t="s">
        <v>48</v>
      </c>
      <c r="C36" s="314" t="s">
        <v>319</v>
      </c>
      <c r="E36" s="324"/>
      <c r="F36" s="482"/>
      <c r="G36" s="482"/>
      <c r="H36" s="482"/>
      <c r="I36" s="346"/>
      <c r="J36" s="461"/>
      <c r="K36" s="446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377"/>
      <c r="Z36" s="307"/>
      <c r="AB36" s="307"/>
      <c r="AD36" s="307"/>
      <c r="AG36" s="447"/>
      <c r="AH36" s="447"/>
    </row>
    <row r="37" spans="2:34" s="305" customFormat="1" ht="12" outlineLevel="1" x14ac:dyDescent="0.2">
      <c r="B37" s="307"/>
      <c r="C37" s="462" t="s">
        <v>79</v>
      </c>
      <c r="D37" s="462" t="s">
        <v>80</v>
      </c>
      <c r="E37" s="463" t="s">
        <v>322</v>
      </c>
      <c r="F37" s="485" t="s">
        <v>84</v>
      </c>
      <c r="G37" s="463" t="s">
        <v>81</v>
      </c>
      <c r="H37" s="486"/>
      <c r="I37" s="486" t="s">
        <v>84</v>
      </c>
      <c r="J37" s="451" t="str">
        <f>$J$6</f>
        <v>FY21 -Full</v>
      </c>
      <c r="K37" s="452" t="str">
        <f>$K$6</f>
        <v>FY21 -Partial</v>
      </c>
      <c r="L37" s="585" t="s">
        <v>155</v>
      </c>
      <c r="M37" s="585" t="s">
        <v>156</v>
      </c>
      <c r="N37" s="585" t="s">
        <v>157</v>
      </c>
      <c r="O37" s="585" t="s">
        <v>158</v>
      </c>
      <c r="P37" s="585" t="s">
        <v>159</v>
      </c>
      <c r="Q37" s="585" t="s">
        <v>160</v>
      </c>
      <c r="R37" s="585" t="s">
        <v>161</v>
      </c>
      <c r="S37" s="585" t="s">
        <v>162</v>
      </c>
      <c r="T37" s="585" t="s">
        <v>163</v>
      </c>
      <c r="U37" s="585" t="s">
        <v>164</v>
      </c>
      <c r="V37" s="585" t="s">
        <v>165</v>
      </c>
      <c r="W37" s="585" t="s">
        <v>166</v>
      </c>
      <c r="X37" s="660"/>
      <c r="Y37" s="661" t="str">
        <f>$X$6</f>
        <v>FY22</v>
      </c>
      <c r="Z37" s="662" t="str">
        <f>IF(X37="","",X37)</f>
        <v/>
      </c>
      <c r="AA37" s="661" t="str">
        <f>$Z$6</f>
        <v>FY23</v>
      </c>
      <c r="AB37" s="662" t="str">
        <f>IF(Z37="","",Z37)</f>
        <v/>
      </c>
      <c r="AC37" s="661" t="str">
        <f>$AB$6</f>
        <v>FY24</v>
      </c>
      <c r="AD37" s="662" t="str">
        <f>IF(AB37="","",AB37)</f>
        <v/>
      </c>
      <c r="AE37" s="661" t="str">
        <f>$AD$6</f>
        <v>FY25</v>
      </c>
      <c r="AG37" s="447"/>
      <c r="AH37" s="447"/>
    </row>
    <row r="38" spans="2:34" s="305" customFormat="1" ht="12" outlineLevel="1" x14ac:dyDescent="0.2">
      <c r="B38" s="307"/>
      <c r="C38" s="536" t="s">
        <v>549</v>
      </c>
      <c r="D38" s="536" t="s">
        <v>548</v>
      </c>
      <c r="E38" s="537">
        <v>750</v>
      </c>
      <c r="F38" s="485" t="s">
        <v>84</v>
      </c>
      <c r="G38" s="673"/>
      <c r="H38" s="674">
        <f t="shared" ref="H38:H40" si="67">IF(COUNTA(G38)=1,K38,0)</f>
        <v>0</v>
      </c>
      <c r="I38" s="485"/>
      <c r="J38" s="466">
        <f t="shared" ref="J38" si="68">E38*SUM(L38:W38)</f>
        <v>3000</v>
      </c>
      <c r="K38" s="467">
        <f t="shared" ref="K38" si="69">E38*SUM(L38:W38)</f>
        <v>3000</v>
      </c>
      <c r="L38" s="586"/>
      <c r="M38" s="586"/>
      <c r="N38" s="586">
        <v>1</v>
      </c>
      <c r="O38" s="586">
        <v>1</v>
      </c>
      <c r="P38" s="586"/>
      <c r="Q38" s="586"/>
      <c r="R38" s="586"/>
      <c r="S38" s="586">
        <v>1</v>
      </c>
      <c r="T38" s="586">
        <v>1</v>
      </c>
      <c r="U38" s="586"/>
      <c r="V38" s="586"/>
      <c r="W38" s="586"/>
      <c r="X38" s="465"/>
      <c r="Y38" s="468">
        <f t="shared" ref="Y38" si="70">IF(J38="","",J38*(1+Y$7))</f>
        <v>3060</v>
      </c>
      <c r="Z38" s="469"/>
      <c r="AA38" s="468">
        <f t="shared" ref="AA38" si="71">IF(Y38="","",Y38*(1+AA$7))</f>
        <v>3121.2000000000003</v>
      </c>
      <c r="AB38" s="469"/>
      <c r="AC38" s="468">
        <f t="shared" ref="AC38" si="72">IF(AA38="","",AA38*(1+AC$7))</f>
        <v>3183.6240000000003</v>
      </c>
      <c r="AD38" s="469"/>
      <c r="AE38" s="468">
        <f t="shared" ref="AE38" si="73">IF(AC38="","",AC38*(1+AE$7))</f>
        <v>3247.2964800000004</v>
      </c>
      <c r="AG38" s="447"/>
      <c r="AH38" s="447"/>
    </row>
    <row r="39" spans="2:34" s="305" customFormat="1" ht="12" outlineLevel="1" x14ac:dyDescent="0.2">
      <c r="B39" s="307"/>
      <c r="C39" s="536" t="s">
        <v>550</v>
      </c>
      <c r="D39" s="536" t="s">
        <v>548</v>
      </c>
      <c r="E39" s="537">
        <v>750</v>
      </c>
      <c r="F39" s="485" t="s">
        <v>84</v>
      </c>
      <c r="G39" s="673"/>
      <c r="H39" s="674">
        <f t="shared" si="67"/>
        <v>0</v>
      </c>
      <c r="I39" s="485"/>
      <c r="J39" s="466">
        <f t="shared" ref="J39" si="74">E39*SUM(L39:W39)</f>
        <v>3000</v>
      </c>
      <c r="K39" s="467">
        <f t="shared" ref="K39" si="75">E39*SUM(L39:W39)</f>
        <v>3000</v>
      </c>
      <c r="L39" s="586"/>
      <c r="M39" s="586"/>
      <c r="N39" s="586">
        <v>1</v>
      </c>
      <c r="O39" s="586">
        <v>1</v>
      </c>
      <c r="P39" s="586"/>
      <c r="Q39" s="586"/>
      <c r="R39" s="586"/>
      <c r="S39" s="586">
        <v>1</v>
      </c>
      <c r="T39" s="586">
        <v>1</v>
      </c>
      <c r="U39" s="586"/>
      <c r="V39" s="586"/>
      <c r="W39" s="586"/>
      <c r="X39" s="465"/>
      <c r="Y39" s="468">
        <f t="shared" ref="Y39" si="76">IF(J39="","",J39*(1+Y$7))</f>
        <v>3060</v>
      </c>
      <c r="Z39" s="469"/>
      <c r="AA39" s="468">
        <f t="shared" ref="AA39" si="77">IF(Y39="","",Y39*(1+AA$7))</f>
        <v>3121.2000000000003</v>
      </c>
      <c r="AB39" s="469"/>
      <c r="AC39" s="468">
        <f t="shared" ref="AC39" si="78">IF(AA39="","",AA39*(1+AC$7))</f>
        <v>3183.6240000000003</v>
      </c>
      <c r="AD39" s="469"/>
      <c r="AE39" s="468">
        <f t="shared" ref="AE39" si="79">IF(AC39="","",AC39*(1+AE$7))</f>
        <v>3247.2964800000004</v>
      </c>
      <c r="AG39" s="447"/>
      <c r="AH39" s="447"/>
    </row>
    <row r="40" spans="2:34" s="305" customFormat="1" ht="12" outlineLevel="1" x14ac:dyDescent="0.2">
      <c r="B40" s="307"/>
      <c r="C40" s="540"/>
      <c r="D40" s="540"/>
      <c r="E40" s="541"/>
      <c r="F40" s="485" t="s">
        <v>84</v>
      </c>
      <c r="G40" s="673"/>
      <c r="H40" s="674">
        <f t="shared" si="67"/>
        <v>0</v>
      </c>
      <c r="I40" s="485" t="s">
        <v>84</v>
      </c>
      <c r="J40" s="466">
        <f t="shared" ref="J40" si="80">E40*SUM(L40:W40)</f>
        <v>0</v>
      </c>
      <c r="K40" s="467">
        <f t="shared" ref="K40" si="81">E40*SUM(L40:W40)</f>
        <v>0</v>
      </c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465"/>
      <c r="Y40" s="468">
        <f t="shared" ref="Y40" si="82">IF(J40="","",J40*(1+Y$7))</f>
        <v>0</v>
      </c>
      <c r="Z40" s="469"/>
      <c r="AA40" s="468">
        <f t="shared" ref="AA40" si="83">IF(Y40="","",Y40*(1+AA$7))</f>
        <v>0</v>
      </c>
      <c r="AB40" s="469"/>
      <c r="AC40" s="468">
        <f t="shared" ref="AC40" si="84">IF(AA40="","",AA40*(1+AC$7))</f>
        <v>0</v>
      </c>
      <c r="AD40" s="469"/>
      <c r="AE40" s="468">
        <f t="shared" ref="AE40" si="85">IF(AC40="","",AC40*(1+AE$7))</f>
        <v>0</v>
      </c>
      <c r="AG40" s="447"/>
      <c r="AH40" s="447"/>
    </row>
    <row r="41" spans="2:34" s="305" customFormat="1" ht="6.6" customHeight="1" outlineLevel="1" thickBot="1" x14ac:dyDescent="0.25">
      <c r="B41" s="307"/>
      <c r="C41" s="309"/>
      <c r="D41" s="309"/>
      <c r="E41" s="308"/>
      <c r="F41" s="483"/>
      <c r="G41" s="483"/>
      <c r="H41" s="483"/>
      <c r="I41" s="472"/>
      <c r="J41" s="473"/>
      <c r="K41" s="474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376"/>
      <c r="Y41" s="475"/>
      <c r="Z41" s="310"/>
      <c r="AA41" s="475"/>
      <c r="AB41" s="310"/>
      <c r="AC41" s="475"/>
      <c r="AD41" s="310"/>
      <c r="AE41" s="475"/>
      <c r="AG41" s="447"/>
      <c r="AH41" s="447"/>
    </row>
    <row r="42" spans="2:34" s="314" customFormat="1" ht="12.75" thickBot="1" x14ac:dyDescent="0.25">
      <c r="B42" s="306"/>
      <c r="C42" s="309" t="str">
        <f>C36</f>
        <v xml:space="preserve">Performance Incentives: Teachers </v>
      </c>
      <c r="D42" s="476"/>
      <c r="E42" s="477"/>
      <c r="F42" s="651">
        <v>6151</v>
      </c>
      <c r="G42" s="651"/>
      <c r="H42" s="651"/>
      <c r="I42" s="652"/>
      <c r="J42" s="653">
        <f>SUBTOTAL(9,J37:J41)</f>
        <v>6000</v>
      </c>
      <c r="K42" s="654">
        <f>SUBTOTAL(9,K37:K41)</f>
        <v>6000</v>
      </c>
      <c r="L42" s="623">
        <f>SUMPRODUCT(Payroll!$E$38:$E$41,Payroll!L38:L41)</f>
        <v>0</v>
      </c>
      <c r="M42" s="623">
        <f>SUMPRODUCT(Payroll!$E$38:$E$41,Payroll!M38:M41)</f>
        <v>0</v>
      </c>
      <c r="N42" s="623">
        <f>SUMPRODUCT(Payroll!$E$38:$E$41,Payroll!N38:N41)</f>
        <v>1500</v>
      </c>
      <c r="O42" s="623">
        <f>SUMPRODUCT(Payroll!$E$38:$E$41,Payroll!O38:O41)</f>
        <v>1500</v>
      </c>
      <c r="P42" s="623">
        <f>SUMPRODUCT(Payroll!$E$38:$E$41,Payroll!P38:P41)</f>
        <v>0</v>
      </c>
      <c r="Q42" s="623">
        <f>SUMPRODUCT(Payroll!$E$38:$E$41,Payroll!Q38:Q41)</f>
        <v>0</v>
      </c>
      <c r="R42" s="623">
        <f>SUMPRODUCT(Payroll!$E$38:$E$41,Payroll!R38:R41)</f>
        <v>0</v>
      </c>
      <c r="S42" s="623">
        <f>SUMPRODUCT(Payroll!$E$38:$E$41,Payroll!S38:S41)</f>
        <v>1500</v>
      </c>
      <c r="T42" s="623">
        <f>SUMPRODUCT(Payroll!$E$38:$E$41,Payroll!T38:T41)</f>
        <v>1500</v>
      </c>
      <c r="U42" s="623">
        <f>SUMPRODUCT(Payroll!$E$38:$E$41,Payroll!U38:U41)</f>
        <v>0</v>
      </c>
      <c r="V42" s="623">
        <f>SUMPRODUCT(Payroll!$E$38:$E$41,Payroll!V38:V41)</f>
        <v>0</v>
      </c>
      <c r="W42" s="623">
        <f>SUMPRODUCT(Payroll!$E$38:$E$41,Payroll!W38:W41)</f>
        <v>0</v>
      </c>
      <c r="X42" s="478">
        <f>I42</f>
        <v>0</v>
      </c>
      <c r="Y42" s="479">
        <f>SUBTOTAL(9,Y37:Y41)</f>
        <v>6120</v>
      </c>
      <c r="Z42" s="480">
        <f>COUNTIF(Z37:Z41,"y")</f>
        <v>0</v>
      </c>
      <c r="AA42" s="479">
        <f>SUBTOTAL(9,AA37:AA41)</f>
        <v>6242.4000000000005</v>
      </c>
      <c r="AB42" s="480">
        <f>COUNTIF(AB37:AB41,"y")</f>
        <v>0</v>
      </c>
      <c r="AC42" s="479">
        <f>SUBTOTAL(9,AC37:AC41)</f>
        <v>6367.2480000000005</v>
      </c>
      <c r="AD42" s="480">
        <f>COUNTIF(AD37:AD41,"y")</f>
        <v>0</v>
      </c>
      <c r="AE42" s="479">
        <f>SUBTOTAL(9,AE37:AE41)</f>
        <v>6494.5929600000009</v>
      </c>
      <c r="AG42" s="481">
        <v>0.01</v>
      </c>
      <c r="AH42" s="481">
        <f>K42-AG42</f>
        <v>5999.99</v>
      </c>
    </row>
    <row r="43" spans="2:34" s="305" customFormat="1" ht="12" outlineLevel="1" x14ac:dyDescent="0.2">
      <c r="B43" s="306" t="s">
        <v>49</v>
      </c>
      <c r="C43" s="314" t="s">
        <v>320</v>
      </c>
      <c r="E43" s="324"/>
      <c r="F43" s="482"/>
      <c r="G43" s="482"/>
      <c r="H43" s="482"/>
      <c r="I43" s="346"/>
      <c r="J43" s="461"/>
      <c r="K43" s="446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377"/>
      <c r="Z43" s="307"/>
      <c r="AB43" s="307"/>
      <c r="AD43" s="307"/>
      <c r="AG43" s="447"/>
      <c r="AH43" s="447"/>
    </row>
    <row r="44" spans="2:34" s="305" customFormat="1" ht="12" outlineLevel="1" x14ac:dyDescent="0.2">
      <c r="B44" s="307"/>
      <c r="C44" s="462" t="s">
        <v>79</v>
      </c>
      <c r="D44" s="462" t="s">
        <v>80</v>
      </c>
      <c r="E44" s="463" t="s">
        <v>322</v>
      </c>
      <c r="F44" s="486" t="s">
        <v>84</v>
      </c>
      <c r="G44" s="463" t="s">
        <v>81</v>
      </c>
      <c r="H44" s="486"/>
      <c r="I44" s="486" t="s">
        <v>84</v>
      </c>
      <c r="J44" s="451" t="str">
        <f>$J$6</f>
        <v>FY21 -Full</v>
      </c>
      <c r="K44" s="452" t="str">
        <f>$K$6</f>
        <v>FY21 -Partial</v>
      </c>
      <c r="L44" s="585" t="s">
        <v>155</v>
      </c>
      <c r="M44" s="585" t="s">
        <v>156</v>
      </c>
      <c r="N44" s="585" t="s">
        <v>157</v>
      </c>
      <c r="O44" s="585" t="s">
        <v>158</v>
      </c>
      <c r="P44" s="585" t="s">
        <v>159</v>
      </c>
      <c r="Q44" s="585" t="s">
        <v>160</v>
      </c>
      <c r="R44" s="585" t="s">
        <v>161</v>
      </c>
      <c r="S44" s="585" t="s">
        <v>162</v>
      </c>
      <c r="T44" s="585" t="s">
        <v>163</v>
      </c>
      <c r="U44" s="585" t="s">
        <v>164</v>
      </c>
      <c r="V44" s="585" t="s">
        <v>165</v>
      </c>
      <c r="W44" s="585" t="s">
        <v>166</v>
      </c>
      <c r="X44" s="660"/>
      <c r="Y44" s="661" t="str">
        <f>$X$6</f>
        <v>FY22</v>
      </c>
      <c r="Z44" s="662" t="str">
        <f>IF(X44="","",X44)</f>
        <v/>
      </c>
      <c r="AA44" s="661" t="str">
        <f>$Z$6</f>
        <v>FY23</v>
      </c>
      <c r="AB44" s="662" t="str">
        <f>IF(Z44="","",Z44)</f>
        <v/>
      </c>
      <c r="AC44" s="661" t="str">
        <f>$AB$6</f>
        <v>FY24</v>
      </c>
      <c r="AD44" s="662" t="str">
        <f>IF(AB44="","",AB44)</f>
        <v/>
      </c>
      <c r="AE44" s="661" t="str">
        <f>$AD$6</f>
        <v>FY25</v>
      </c>
      <c r="AG44" s="447"/>
      <c r="AH44" s="447"/>
    </row>
    <row r="45" spans="2:34" s="305" customFormat="1" ht="12" outlineLevel="1" x14ac:dyDescent="0.2">
      <c r="B45" s="307"/>
      <c r="C45" s="536" t="s">
        <v>551</v>
      </c>
      <c r="D45" s="536" t="s">
        <v>511</v>
      </c>
      <c r="E45" s="537">
        <v>929</v>
      </c>
      <c r="F45" s="485" t="s">
        <v>84</v>
      </c>
      <c r="G45" s="673"/>
      <c r="H45" s="674">
        <f t="shared" ref="H45:H46" si="86">IF(COUNTA(G45)=1,K45,0)</f>
        <v>0</v>
      </c>
      <c r="I45" s="485" t="s">
        <v>84</v>
      </c>
      <c r="J45" s="466">
        <f>E45*SUM(L45:W45)</f>
        <v>4645</v>
      </c>
      <c r="K45" s="467">
        <f>E45*SUM(L45:W45)</f>
        <v>4645</v>
      </c>
      <c r="L45" s="586"/>
      <c r="M45" s="586"/>
      <c r="N45" s="586">
        <v>1</v>
      </c>
      <c r="O45" s="586"/>
      <c r="P45" s="586">
        <v>1</v>
      </c>
      <c r="Q45" s="586"/>
      <c r="R45" s="586">
        <v>1</v>
      </c>
      <c r="S45" s="586"/>
      <c r="T45" s="586">
        <v>1</v>
      </c>
      <c r="U45" s="586">
        <v>1</v>
      </c>
      <c r="V45" s="586"/>
      <c r="W45" s="586"/>
      <c r="X45" s="465"/>
      <c r="Y45" s="468">
        <f>IF(J45="","",J45*(1+Y$7))</f>
        <v>4737.8999999999996</v>
      </c>
      <c r="Z45" s="469"/>
      <c r="AA45" s="468">
        <f>IF(Y45="","",Y45*(1+AA$7))</f>
        <v>4832.6579999999994</v>
      </c>
      <c r="AB45" s="469"/>
      <c r="AC45" s="468">
        <f>IF(AA45="","",AA45*(1+AC$7))</f>
        <v>4929.3111599999993</v>
      </c>
      <c r="AD45" s="469"/>
      <c r="AE45" s="468">
        <f>IF(AC45="","",AC45*(1+AE$7))</f>
        <v>5027.8973831999992</v>
      </c>
      <c r="AG45" s="447"/>
      <c r="AH45" s="447"/>
    </row>
    <row r="46" spans="2:34" s="305" customFormat="1" ht="12" outlineLevel="1" x14ac:dyDescent="0.2">
      <c r="B46" s="307"/>
      <c r="C46" s="540" t="s">
        <v>551</v>
      </c>
      <c r="D46" s="540" t="s">
        <v>511</v>
      </c>
      <c r="E46" s="541">
        <v>3000</v>
      </c>
      <c r="F46" s="485" t="s">
        <v>84</v>
      </c>
      <c r="G46" s="673"/>
      <c r="H46" s="674">
        <f t="shared" si="86"/>
        <v>0</v>
      </c>
      <c r="I46" s="485" t="s">
        <v>84</v>
      </c>
      <c r="J46" s="466">
        <f t="shared" ref="J46" si="87">E46*SUM(L46:W46)</f>
        <v>2250</v>
      </c>
      <c r="K46" s="467">
        <f t="shared" ref="K46" si="88">E46*SUM(L46:W46)</f>
        <v>2250</v>
      </c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>
        <v>0.75</v>
      </c>
      <c r="X46" s="465"/>
      <c r="Y46" s="468">
        <f t="shared" ref="Y46" si="89">IF(J46="","",J46*(1+Y$7))</f>
        <v>2295</v>
      </c>
      <c r="Z46" s="469"/>
      <c r="AA46" s="468">
        <f t="shared" ref="AA46" si="90">IF(Y46="","",Y46*(1+AA$7))</f>
        <v>2340.9</v>
      </c>
      <c r="AB46" s="469"/>
      <c r="AC46" s="468">
        <f t="shared" ref="AC46" si="91">IF(AA46="","",AA46*(1+AC$7))</f>
        <v>2387.7180000000003</v>
      </c>
      <c r="AD46" s="469"/>
      <c r="AE46" s="468">
        <f t="shared" ref="AE46" si="92">IF(AC46="","",AC46*(1+AE$7))</f>
        <v>2435.4723600000002</v>
      </c>
      <c r="AG46" s="447"/>
      <c r="AH46" s="447"/>
    </row>
    <row r="47" spans="2:34" s="305" customFormat="1" ht="6.6" customHeight="1" outlineLevel="1" thickBot="1" x14ac:dyDescent="0.25">
      <c r="B47" s="307"/>
      <c r="C47" s="309"/>
      <c r="D47" s="309"/>
      <c r="E47" s="308"/>
      <c r="F47" s="483"/>
      <c r="G47" s="483"/>
      <c r="H47" s="483"/>
      <c r="I47" s="472"/>
      <c r="J47" s="473"/>
      <c r="K47" s="474"/>
      <c r="L47" s="588"/>
      <c r="M47" s="588"/>
      <c r="N47" s="588"/>
      <c r="O47" s="588"/>
      <c r="P47" s="588"/>
      <c r="Q47" s="588"/>
      <c r="R47" s="588"/>
      <c r="S47" s="588"/>
      <c r="T47" s="588"/>
      <c r="U47" s="588"/>
      <c r="V47" s="588"/>
      <c r="W47" s="588"/>
      <c r="X47" s="376"/>
      <c r="Y47" s="475"/>
      <c r="Z47" s="310"/>
      <c r="AA47" s="475"/>
      <c r="AB47" s="310"/>
      <c r="AC47" s="475"/>
      <c r="AD47" s="310"/>
      <c r="AE47" s="475"/>
      <c r="AG47" s="447"/>
      <c r="AH47" s="447"/>
    </row>
    <row r="48" spans="2:34" s="314" customFormat="1" ht="12.75" thickBot="1" x14ac:dyDescent="0.25">
      <c r="B48" s="306"/>
      <c r="C48" s="309" t="str">
        <f>C43</f>
        <v xml:space="preserve">Performance Incentives: Licensed Admin </v>
      </c>
      <c r="D48" s="476"/>
      <c r="E48" s="477"/>
      <c r="F48" s="651">
        <v>6154</v>
      </c>
      <c r="G48" s="651"/>
      <c r="H48" s="651"/>
      <c r="I48" s="652"/>
      <c r="J48" s="653">
        <f>SUBTOTAL(9,J44:J47)</f>
        <v>6895</v>
      </c>
      <c r="K48" s="654">
        <f>SUBTOTAL(9,K44:K47)</f>
        <v>6895</v>
      </c>
      <c r="L48" s="623">
        <f>SUMPRODUCT(Payroll!$E$45:$E$47,Payroll!L45:L47)</f>
        <v>0</v>
      </c>
      <c r="M48" s="623">
        <f>SUMPRODUCT(Payroll!$E$45:$E$47,Payroll!M45:M47)</f>
        <v>0</v>
      </c>
      <c r="N48" s="623">
        <f>SUMPRODUCT(Payroll!$E$45:$E$47,Payroll!N45:N47)</f>
        <v>929</v>
      </c>
      <c r="O48" s="623">
        <f>SUMPRODUCT(Payroll!$E$45:$E$47,Payroll!O45:O47)</f>
        <v>0</v>
      </c>
      <c r="P48" s="623">
        <f>SUMPRODUCT(Payroll!$E$45:$E$47,Payroll!P45:P47)</f>
        <v>929</v>
      </c>
      <c r="Q48" s="623">
        <f>SUMPRODUCT(Payroll!$E$45:$E$47,Payroll!Q45:Q47)</f>
        <v>0</v>
      </c>
      <c r="R48" s="623">
        <f>SUMPRODUCT(Payroll!$E$45:$E$47,Payroll!R45:R47)</f>
        <v>929</v>
      </c>
      <c r="S48" s="623">
        <f>SUMPRODUCT(Payroll!$E$45:$E$47,Payroll!S45:S47)</f>
        <v>0</v>
      </c>
      <c r="T48" s="623">
        <f>SUMPRODUCT(Payroll!$E$45:$E$47,Payroll!T45:T47)</f>
        <v>929</v>
      </c>
      <c r="U48" s="623">
        <f>SUMPRODUCT(Payroll!$E$45:$E$47,Payroll!U45:U47)</f>
        <v>929</v>
      </c>
      <c r="V48" s="623">
        <f>SUMPRODUCT(Payroll!$E$45:$E$47,Payroll!V45:V47)</f>
        <v>0</v>
      </c>
      <c r="W48" s="623">
        <f>SUMPRODUCT(Payroll!$E$45:$E$47,Payroll!W45:W47)</f>
        <v>2250</v>
      </c>
      <c r="X48" s="465"/>
      <c r="Y48" s="544">
        <f>SUBTOTAL(9,Y44:Y47)</f>
        <v>7032.9</v>
      </c>
      <c r="Z48" s="545"/>
      <c r="AA48" s="544">
        <f>SUBTOTAL(9,AA44:AA47)</f>
        <v>7173.5579999999991</v>
      </c>
      <c r="AB48" s="545"/>
      <c r="AC48" s="544">
        <f>SUBTOTAL(9,AC44:AC47)</f>
        <v>7317.02916</v>
      </c>
      <c r="AD48" s="545"/>
      <c r="AE48" s="544">
        <f>SUBTOTAL(9,AE44:AE47)</f>
        <v>7463.369743199999</v>
      </c>
      <c r="AG48" s="481">
        <v>0.01</v>
      </c>
      <c r="AH48" s="481">
        <f>K48-AG48</f>
        <v>6894.99</v>
      </c>
    </row>
    <row r="49" spans="2:34" s="305" customFormat="1" ht="12" outlineLevel="1" x14ac:dyDescent="0.2">
      <c r="B49" s="306" t="s">
        <v>50</v>
      </c>
      <c r="C49" s="314" t="s">
        <v>321</v>
      </c>
      <c r="E49" s="324"/>
      <c r="F49" s="482"/>
      <c r="G49" s="482"/>
      <c r="H49" s="482"/>
      <c r="I49" s="346"/>
      <c r="J49" s="461"/>
      <c r="K49" s="446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377"/>
      <c r="Z49" s="307"/>
      <c r="AB49" s="307"/>
      <c r="AD49" s="307"/>
      <c r="AG49" s="447"/>
      <c r="AH49" s="447"/>
    </row>
    <row r="50" spans="2:34" s="305" customFormat="1" ht="12" outlineLevel="1" x14ac:dyDescent="0.2">
      <c r="B50" s="307"/>
      <c r="C50" s="462" t="s">
        <v>79</v>
      </c>
      <c r="D50" s="462" t="s">
        <v>80</v>
      </c>
      <c r="E50" s="463" t="s">
        <v>322</v>
      </c>
      <c r="F50" s="486" t="s">
        <v>84</v>
      </c>
      <c r="G50" s="463" t="s">
        <v>81</v>
      </c>
      <c r="H50" s="486"/>
      <c r="I50" s="486" t="s">
        <v>84</v>
      </c>
      <c r="J50" s="451" t="str">
        <f>$J$6</f>
        <v>FY21 -Full</v>
      </c>
      <c r="K50" s="452" t="str">
        <f>$K$6</f>
        <v>FY21 -Partial</v>
      </c>
      <c r="L50" s="585" t="s">
        <v>155</v>
      </c>
      <c r="M50" s="585" t="s">
        <v>156</v>
      </c>
      <c r="N50" s="585" t="s">
        <v>157</v>
      </c>
      <c r="O50" s="585" t="s">
        <v>158</v>
      </c>
      <c r="P50" s="585" t="s">
        <v>159</v>
      </c>
      <c r="Q50" s="585" t="s">
        <v>160</v>
      </c>
      <c r="R50" s="585" t="s">
        <v>161</v>
      </c>
      <c r="S50" s="585" t="s">
        <v>162</v>
      </c>
      <c r="T50" s="585" t="s">
        <v>163</v>
      </c>
      <c r="U50" s="585" t="s">
        <v>164</v>
      </c>
      <c r="V50" s="585" t="s">
        <v>165</v>
      </c>
      <c r="W50" s="585" t="s">
        <v>166</v>
      </c>
      <c r="X50" s="660"/>
      <c r="Y50" s="661" t="str">
        <f>$X$6</f>
        <v>FY22</v>
      </c>
      <c r="Z50" s="662" t="str">
        <f>IF(X50="","",X50)</f>
        <v/>
      </c>
      <c r="AA50" s="661" t="str">
        <f>$Z$6</f>
        <v>FY23</v>
      </c>
      <c r="AB50" s="662" t="str">
        <f>IF(Z50="","",Z50)</f>
        <v/>
      </c>
      <c r="AC50" s="661" t="str">
        <f>$AB$6</f>
        <v>FY24</v>
      </c>
      <c r="AD50" s="662" t="str">
        <f>IF(AB50="","",AB50)</f>
        <v/>
      </c>
      <c r="AE50" s="661" t="str">
        <f>$AD$6</f>
        <v>FY25</v>
      </c>
      <c r="AG50" s="447"/>
      <c r="AH50" s="447"/>
    </row>
    <row r="51" spans="2:34" s="305" customFormat="1" ht="12" outlineLevel="1" x14ac:dyDescent="0.2">
      <c r="B51" s="307"/>
      <c r="C51" s="536" t="s">
        <v>552</v>
      </c>
      <c r="D51" s="536" t="s">
        <v>512</v>
      </c>
      <c r="E51" s="537">
        <v>750</v>
      </c>
      <c r="F51" s="485" t="s">
        <v>84</v>
      </c>
      <c r="G51" s="673"/>
      <c r="H51" s="674">
        <f t="shared" ref="H51:H52" si="93">IF(COUNTA(G51)=1,K51,0)</f>
        <v>0</v>
      </c>
      <c r="I51" s="485" t="s">
        <v>84</v>
      </c>
      <c r="J51" s="466">
        <f>E51*SUM(L51:W51)</f>
        <v>3000</v>
      </c>
      <c r="K51" s="467">
        <f>E51*SUM(L51:W51)</f>
        <v>3000</v>
      </c>
      <c r="L51" s="586"/>
      <c r="M51" s="586"/>
      <c r="N51" s="586">
        <v>1</v>
      </c>
      <c r="O51" s="586">
        <v>1</v>
      </c>
      <c r="P51" s="586"/>
      <c r="Q51" s="586"/>
      <c r="R51" s="586"/>
      <c r="S51" s="586">
        <v>1</v>
      </c>
      <c r="T51" s="586">
        <v>1</v>
      </c>
      <c r="U51" s="586"/>
      <c r="V51" s="586"/>
      <c r="W51" s="586"/>
      <c r="X51" s="465"/>
      <c r="Y51" s="468">
        <f>IF(J51="","",J51*(1+Y$7))</f>
        <v>3060</v>
      </c>
      <c r="Z51" s="469"/>
      <c r="AA51" s="468">
        <f>IF(Y51="","",Y51*(1+AA$7))</f>
        <v>3121.2000000000003</v>
      </c>
      <c r="AB51" s="469"/>
      <c r="AC51" s="468">
        <f>IF(AA51="","",AA51*(1+AC$7))</f>
        <v>3183.6240000000003</v>
      </c>
      <c r="AD51" s="469"/>
      <c r="AE51" s="468">
        <f>IF(AC51="","",AC51*(1+AE$7))</f>
        <v>3247.2964800000004</v>
      </c>
      <c r="AG51" s="447"/>
      <c r="AH51" s="447"/>
    </row>
    <row r="52" spans="2:34" s="305" customFormat="1" ht="12" outlineLevel="1" x14ac:dyDescent="0.2">
      <c r="B52" s="307"/>
      <c r="C52" s="540"/>
      <c r="D52" s="540"/>
      <c r="E52" s="541"/>
      <c r="F52" s="485" t="s">
        <v>84</v>
      </c>
      <c r="G52" s="673"/>
      <c r="H52" s="674">
        <f t="shared" si="93"/>
        <v>0</v>
      </c>
      <c r="I52" s="485" t="s">
        <v>84</v>
      </c>
      <c r="J52" s="466">
        <f t="shared" ref="J52" si="94">E52*SUM(L52:W52)</f>
        <v>0</v>
      </c>
      <c r="K52" s="467">
        <f t="shared" ref="K52" si="95">E52*SUM(L52:W52)</f>
        <v>0</v>
      </c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465"/>
      <c r="Y52" s="468">
        <f t="shared" ref="Y52" si="96">IF(J52="","",J52*(1+Y$7))</f>
        <v>0</v>
      </c>
      <c r="Z52" s="469"/>
      <c r="AA52" s="468">
        <f t="shared" ref="AA52" si="97">IF(Y52="","",Y52*(1+AA$7))</f>
        <v>0</v>
      </c>
      <c r="AB52" s="469"/>
      <c r="AC52" s="468">
        <f t="shared" ref="AC52" si="98">IF(AA52="","",AA52*(1+AC$7))</f>
        <v>0</v>
      </c>
      <c r="AD52" s="469"/>
      <c r="AE52" s="468">
        <f t="shared" ref="AE52" si="99">IF(AC52="","",AC52*(1+AE$7))</f>
        <v>0</v>
      </c>
      <c r="AG52" s="447"/>
      <c r="AH52" s="447"/>
    </row>
    <row r="53" spans="2:34" s="305" customFormat="1" ht="6.6" customHeight="1" outlineLevel="1" thickBot="1" x14ac:dyDescent="0.25">
      <c r="B53" s="307"/>
      <c r="C53" s="309"/>
      <c r="D53" s="309"/>
      <c r="E53" s="308"/>
      <c r="F53" s="483"/>
      <c r="G53" s="483"/>
      <c r="H53" s="483"/>
      <c r="I53" s="472"/>
      <c r="J53" s="473"/>
      <c r="K53" s="474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376"/>
      <c r="Y53" s="475"/>
      <c r="Z53" s="310"/>
      <c r="AA53" s="475"/>
      <c r="AB53" s="310"/>
      <c r="AC53" s="475"/>
      <c r="AD53" s="310"/>
      <c r="AE53" s="475"/>
      <c r="AG53" s="470"/>
      <c r="AH53" s="470"/>
    </row>
    <row r="54" spans="2:34" s="314" customFormat="1" ht="12.75" thickBot="1" x14ac:dyDescent="0.25">
      <c r="B54" s="306"/>
      <c r="C54" s="309" t="str">
        <f>C49</f>
        <v>Performance Incentives: Other Classified/Support Staff</v>
      </c>
      <c r="D54" s="476"/>
      <c r="E54" s="477"/>
      <c r="F54" s="651">
        <v>6157</v>
      </c>
      <c r="G54" s="651"/>
      <c r="H54" s="651"/>
      <c r="I54" s="652"/>
      <c r="J54" s="653">
        <f>SUBTOTAL(9,J50:J53)</f>
        <v>3000</v>
      </c>
      <c r="K54" s="654">
        <f>SUBTOTAL(9,K50:K53)</f>
        <v>3000</v>
      </c>
      <c r="L54" s="623">
        <f>SUMPRODUCT(Payroll!$E$51:$E$53,Payroll!L51:L53)</f>
        <v>0</v>
      </c>
      <c r="M54" s="623">
        <f>SUMPRODUCT(Payroll!$E$51:$E$53,Payroll!M51:M53)</f>
        <v>0</v>
      </c>
      <c r="N54" s="623">
        <f>SUMPRODUCT(Payroll!$E$51:$E$53,Payroll!N51:N53)</f>
        <v>750</v>
      </c>
      <c r="O54" s="623">
        <f>SUMPRODUCT(Payroll!$E$51:$E$53,Payroll!O51:O53)</f>
        <v>750</v>
      </c>
      <c r="P54" s="623">
        <f>SUMPRODUCT(Payroll!$E$51:$E$53,Payroll!P51:P53)</f>
        <v>0</v>
      </c>
      <c r="Q54" s="623">
        <f>SUMPRODUCT(Payroll!$E$51:$E$53,Payroll!Q51:Q53)</f>
        <v>0</v>
      </c>
      <c r="R54" s="623">
        <f>SUMPRODUCT(Payroll!$E$51:$E$53,Payroll!R51:R53)</f>
        <v>0</v>
      </c>
      <c r="S54" s="623">
        <f>SUMPRODUCT(Payroll!$E$51:$E$53,Payroll!S51:S53)</f>
        <v>750</v>
      </c>
      <c r="T54" s="623">
        <f>SUMPRODUCT(Payroll!$E$51:$E$53,Payroll!T51:T53)</f>
        <v>750</v>
      </c>
      <c r="U54" s="623">
        <f>SUMPRODUCT(Payroll!$E$51:$E$53,Payroll!U51:U53)</f>
        <v>0</v>
      </c>
      <c r="V54" s="623">
        <f>SUMPRODUCT(Payroll!$E$51:$E$53,Payroll!V51:V53)</f>
        <v>0</v>
      </c>
      <c r="W54" s="623">
        <f>SUMPRODUCT(Payroll!$E$51:$E$53,Payroll!W51:W53)</f>
        <v>0</v>
      </c>
      <c r="X54" s="546"/>
      <c r="Y54" s="544">
        <f>SUBTOTAL(9,Y50:Y53)</f>
        <v>3060</v>
      </c>
      <c r="Z54" s="545"/>
      <c r="AA54" s="544">
        <f>SUBTOTAL(9,AA50:AA53)</f>
        <v>3121.2000000000003</v>
      </c>
      <c r="AB54" s="545"/>
      <c r="AC54" s="544">
        <f>SUBTOTAL(9,AC50:AC53)</f>
        <v>3183.6240000000003</v>
      </c>
      <c r="AD54" s="545"/>
      <c r="AE54" s="544">
        <f>SUBTOTAL(9,AE50:AE53)</f>
        <v>3247.2964800000004</v>
      </c>
      <c r="AG54" s="481">
        <v>0.01</v>
      </c>
      <c r="AH54" s="481">
        <f>K54-AG54</f>
        <v>2999.99</v>
      </c>
    </row>
    <row r="55" spans="2:34" s="305" customFormat="1" ht="12" outlineLevel="1" x14ac:dyDescent="0.2">
      <c r="B55" s="306" t="s">
        <v>51</v>
      </c>
      <c r="C55" s="314" t="s">
        <v>97</v>
      </c>
      <c r="E55" s="324"/>
      <c r="F55" s="482"/>
      <c r="G55" s="482"/>
      <c r="H55" s="482"/>
      <c r="I55" s="346"/>
      <c r="J55" s="461"/>
      <c r="K55" s="446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377"/>
      <c r="Z55" s="307"/>
      <c r="AB55" s="307"/>
      <c r="AD55" s="307"/>
      <c r="AG55" s="447"/>
      <c r="AH55" s="447"/>
    </row>
    <row r="56" spans="2:34" s="305" customFormat="1" ht="12" outlineLevel="1" x14ac:dyDescent="0.2">
      <c r="B56" s="307"/>
      <c r="C56" s="487" t="s">
        <v>79</v>
      </c>
      <c r="D56" s="487" t="s">
        <v>316</v>
      </c>
      <c r="E56" s="488" t="s">
        <v>317</v>
      </c>
      <c r="F56" s="484" t="s">
        <v>84</v>
      </c>
      <c r="G56" s="463" t="s">
        <v>81</v>
      </c>
      <c r="H56" s="484"/>
      <c r="I56" s="484" t="s">
        <v>84</v>
      </c>
      <c r="J56" s="451" t="str">
        <f>$J$6</f>
        <v>FY21 -Full</v>
      </c>
      <c r="K56" s="489" t="s">
        <v>318</v>
      </c>
      <c r="L56" s="585" t="s">
        <v>155</v>
      </c>
      <c r="M56" s="585" t="s">
        <v>156</v>
      </c>
      <c r="N56" s="585" t="s">
        <v>157</v>
      </c>
      <c r="O56" s="585" t="s">
        <v>158</v>
      </c>
      <c r="P56" s="585" t="s">
        <v>159</v>
      </c>
      <c r="Q56" s="585" t="s">
        <v>160</v>
      </c>
      <c r="R56" s="585" t="s">
        <v>161</v>
      </c>
      <c r="S56" s="585" t="s">
        <v>162</v>
      </c>
      <c r="T56" s="585" t="s">
        <v>163</v>
      </c>
      <c r="U56" s="585" t="s">
        <v>164</v>
      </c>
      <c r="V56" s="585" t="s">
        <v>165</v>
      </c>
      <c r="W56" s="585" t="s">
        <v>166</v>
      </c>
      <c r="X56" s="660"/>
      <c r="Y56" s="661" t="str">
        <f>$X$6</f>
        <v>FY22</v>
      </c>
      <c r="Z56" s="662" t="str">
        <f>IF(X56="","",X56)</f>
        <v/>
      </c>
      <c r="AA56" s="661" t="str">
        <f>$Z$6</f>
        <v>FY23</v>
      </c>
      <c r="AB56" s="662" t="str">
        <f>IF(Z56="","",Z56)</f>
        <v/>
      </c>
      <c r="AC56" s="661" t="str">
        <f>$AB$6</f>
        <v>FY24</v>
      </c>
      <c r="AD56" s="662" t="str">
        <f>IF(AB56="","",AB56)</f>
        <v/>
      </c>
      <c r="AE56" s="661" t="str">
        <f>$AD$6</f>
        <v>FY25</v>
      </c>
      <c r="AG56" s="447"/>
      <c r="AH56" s="447"/>
    </row>
    <row r="57" spans="2:34" s="305" customFormat="1" ht="12" outlineLevel="1" x14ac:dyDescent="0.2">
      <c r="B57" s="307"/>
      <c r="C57" s="536" t="s">
        <v>549</v>
      </c>
      <c r="D57" s="536" t="s">
        <v>548</v>
      </c>
      <c r="E57" s="537">
        <v>30</v>
      </c>
      <c r="F57" s="485"/>
      <c r="G57" s="673"/>
      <c r="H57" s="674">
        <f t="shared" ref="H57:H59" si="100">IF(COUNTA(G57)=1,K57,0)</f>
        <v>0</v>
      </c>
      <c r="I57" s="485"/>
      <c r="J57" s="466">
        <f t="shared" ref="J57:J58" si="101">E57*SUM(L57:W57)</f>
        <v>600</v>
      </c>
      <c r="K57" s="467">
        <f t="shared" ref="K57:K58" si="102">E57*SUM(L57:W57)</f>
        <v>600</v>
      </c>
      <c r="L57" s="586"/>
      <c r="M57" s="586"/>
      <c r="N57" s="586"/>
      <c r="O57" s="586">
        <v>5</v>
      </c>
      <c r="P57" s="586">
        <v>5</v>
      </c>
      <c r="Q57" s="586">
        <v>5</v>
      </c>
      <c r="R57" s="586">
        <v>5</v>
      </c>
      <c r="S57" s="586"/>
      <c r="T57" s="586"/>
      <c r="U57" s="586"/>
      <c r="V57" s="586"/>
      <c r="W57" s="586"/>
      <c r="X57" s="465"/>
      <c r="Y57" s="468">
        <f t="shared" ref="Y57:Y58" si="103">IF(J57="","",J57*(1+Y$7))</f>
        <v>612</v>
      </c>
      <c r="Z57" s="469"/>
      <c r="AA57" s="468">
        <f t="shared" ref="AA57:AA58" si="104">IF(Y57="","",Y57*(1+AA$7))</f>
        <v>624.24</v>
      </c>
      <c r="AB57" s="469"/>
      <c r="AC57" s="468">
        <f t="shared" ref="AC57:AC58" si="105">IF(AA57="","",AA57*(1+AC$7))</f>
        <v>636.72480000000007</v>
      </c>
      <c r="AD57" s="469"/>
      <c r="AE57" s="468">
        <f t="shared" ref="AE57:AE58" si="106">IF(AC57="","",AC57*(1+AE$7))</f>
        <v>649.45929600000011</v>
      </c>
      <c r="AG57" s="447"/>
      <c r="AH57" s="447"/>
    </row>
    <row r="58" spans="2:34" s="305" customFormat="1" ht="12" outlineLevel="1" x14ac:dyDescent="0.2">
      <c r="B58" s="307"/>
      <c r="C58" s="536" t="s">
        <v>550</v>
      </c>
      <c r="D58" s="536" t="s">
        <v>548</v>
      </c>
      <c r="E58" s="537">
        <v>30</v>
      </c>
      <c r="F58" s="485"/>
      <c r="G58" s="673"/>
      <c r="H58" s="674">
        <f t="shared" si="100"/>
        <v>0</v>
      </c>
      <c r="I58" s="485"/>
      <c r="J58" s="466">
        <f t="shared" si="101"/>
        <v>600</v>
      </c>
      <c r="K58" s="467">
        <f t="shared" si="102"/>
        <v>600</v>
      </c>
      <c r="L58" s="586"/>
      <c r="M58" s="586"/>
      <c r="N58" s="586"/>
      <c r="O58" s="586">
        <v>5</v>
      </c>
      <c r="P58" s="586">
        <v>5</v>
      </c>
      <c r="Q58" s="586">
        <v>5</v>
      </c>
      <c r="R58" s="586">
        <v>5</v>
      </c>
      <c r="S58" s="586"/>
      <c r="T58" s="586"/>
      <c r="U58" s="586"/>
      <c r="V58" s="586"/>
      <c r="W58" s="586"/>
      <c r="X58" s="465"/>
      <c r="Y58" s="468">
        <f t="shared" si="103"/>
        <v>612</v>
      </c>
      <c r="Z58" s="469"/>
      <c r="AA58" s="468">
        <f t="shared" si="104"/>
        <v>624.24</v>
      </c>
      <c r="AB58" s="469"/>
      <c r="AC58" s="468">
        <f t="shared" si="105"/>
        <v>636.72480000000007</v>
      </c>
      <c r="AD58" s="469"/>
      <c r="AE58" s="468">
        <f t="shared" si="106"/>
        <v>649.45929600000011</v>
      </c>
      <c r="AG58" s="447"/>
      <c r="AH58" s="447"/>
    </row>
    <row r="59" spans="2:34" s="305" customFormat="1" ht="12" outlineLevel="1" x14ac:dyDescent="0.2">
      <c r="B59" s="307"/>
      <c r="C59" s="540"/>
      <c r="D59" s="540"/>
      <c r="E59" s="541"/>
      <c r="F59" s="485" t="s">
        <v>84</v>
      </c>
      <c r="G59" s="673"/>
      <c r="H59" s="674">
        <f t="shared" si="100"/>
        <v>0</v>
      </c>
      <c r="I59" s="485" t="s">
        <v>84</v>
      </c>
      <c r="J59" s="466">
        <f t="shared" ref="J59" si="107">E59*SUM(L59:W59)</f>
        <v>0</v>
      </c>
      <c r="K59" s="467">
        <f t="shared" ref="K59" si="108">E59*SUM(L59:W59)</f>
        <v>0</v>
      </c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465"/>
      <c r="Y59" s="468">
        <f t="shared" ref="Y59" si="109">IF(J59="","",J59*(1+Y$7))</f>
        <v>0</v>
      </c>
      <c r="Z59" s="469"/>
      <c r="AA59" s="468">
        <f t="shared" ref="AA59" si="110">IF(Y59="","",Y59*(1+AA$7))</f>
        <v>0</v>
      </c>
      <c r="AB59" s="469"/>
      <c r="AC59" s="468">
        <f t="shared" ref="AC59" si="111">IF(AA59="","",AA59*(1+AC$7))</f>
        <v>0</v>
      </c>
      <c r="AD59" s="469"/>
      <c r="AE59" s="468">
        <f t="shared" ref="AE59" si="112">IF(AC59="","",AC59*(1+AE$7))</f>
        <v>0</v>
      </c>
      <c r="AG59" s="447"/>
      <c r="AH59" s="447"/>
    </row>
    <row r="60" spans="2:34" s="305" customFormat="1" ht="6.6" customHeight="1" outlineLevel="1" thickBot="1" x14ac:dyDescent="0.25">
      <c r="B60" s="307"/>
      <c r="C60" s="309"/>
      <c r="D60" s="309"/>
      <c r="E60" s="308"/>
      <c r="F60" s="483"/>
      <c r="G60" s="483"/>
      <c r="H60" s="483"/>
      <c r="I60" s="472"/>
      <c r="J60" s="473"/>
      <c r="K60" s="474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376"/>
      <c r="Y60" s="475"/>
      <c r="Z60" s="310"/>
      <c r="AA60" s="475"/>
      <c r="AB60" s="310"/>
      <c r="AC60" s="475"/>
      <c r="AD60" s="310"/>
      <c r="AE60" s="475"/>
      <c r="AG60" s="447"/>
      <c r="AH60" s="447"/>
    </row>
    <row r="61" spans="2:34" s="314" customFormat="1" ht="12.75" thickBot="1" x14ac:dyDescent="0.25">
      <c r="B61" s="306"/>
      <c r="C61" s="309" t="str">
        <f>C55</f>
        <v>Extra Duties: Teachers</v>
      </c>
      <c r="D61" s="476"/>
      <c r="E61" s="477"/>
      <c r="F61" s="651">
        <v>6161</v>
      </c>
      <c r="G61" s="651"/>
      <c r="H61" s="651"/>
      <c r="I61" s="652"/>
      <c r="J61" s="653">
        <f>SUBTOTAL(9,J56:J60)</f>
        <v>1200</v>
      </c>
      <c r="K61" s="654">
        <f>SUBTOTAL(9,K56:K60)</f>
        <v>1200</v>
      </c>
      <c r="L61" s="623">
        <f>SUMPRODUCT(Payroll!$E$57:$E$60,Payroll!L57:L60)</f>
        <v>0</v>
      </c>
      <c r="M61" s="623">
        <f>SUMPRODUCT(Payroll!$E$57:$E$60,Payroll!M57:M60)</f>
        <v>0</v>
      </c>
      <c r="N61" s="623">
        <f>SUMPRODUCT(Payroll!$E$57:$E$60,Payroll!N57:N60)</f>
        <v>0</v>
      </c>
      <c r="O61" s="623">
        <f>SUMPRODUCT(Payroll!$E$57:$E$60,Payroll!O57:O60)</f>
        <v>300</v>
      </c>
      <c r="P61" s="623">
        <f>SUMPRODUCT(Payroll!$E$57:$E$60,Payroll!P57:P60)</f>
        <v>300</v>
      </c>
      <c r="Q61" s="623">
        <f>SUMPRODUCT(Payroll!$E$57:$E$60,Payroll!Q57:Q60)</f>
        <v>300</v>
      </c>
      <c r="R61" s="623">
        <f>SUMPRODUCT(Payroll!$E$57:$E$60,Payroll!R57:R60)</f>
        <v>300</v>
      </c>
      <c r="S61" s="623">
        <f>SUMPRODUCT(Payroll!$E$57:$E$60,Payroll!S57:S60)</f>
        <v>0</v>
      </c>
      <c r="T61" s="623">
        <f>SUMPRODUCT(Payroll!$E$57:$E$60,Payroll!T57:T60)</f>
        <v>0</v>
      </c>
      <c r="U61" s="623">
        <f>SUMPRODUCT(Payroll!$E$57:$E$60,Payroll!U57:U60)</f>
        <v>0</v>
      </c>
      <c r="V61" s="623">
        <f>SUMPRODUCT(Payroll!$E$57:$E$60,Payroll!V57:V60)</f>
        <v>0</v>
      </c>
      <c r="W61" s="623">
        <f>SUMPRODUCT(Payroll!$E$57:$E$60,Payroll!W57:W60)</f>
        <v>0</v>
      </c>
      <c r="X61" s="546"/>
      <c r="Y61" s="544">
        <f>SUBTOTAL(9,Y56:Y60)</f>
        <v>1224</v>
      </c>
      <c r="Z61" s="545"/>
      <c r="AA61" s="544">
        <f>SUBTOTAL(9,AA56:AA60)</f>
        <v>1248.48</v>
      </c>
      <c r="AB61" s="545"/>
      <c r="AC61" s="544">
        <f>SUBTOTAL(9,AC56:AC60)</f>
        <v>1273.4496000000001</v>
      </c>
      <c r="AD61" s="545"/>
      <c r="AE61" s="544">
        <f>SUBTOTAL(9,AE56:AE60)</f>
        <v>1298.9185920000002</v>
      </c>
      <c r="AG61" s="481">
        <v>0.01</v>
      </c>
      <c r="AH61" s="481">
        <f>K61-AG61</f>
        <v>1199.99</v>
      </c>
    </row>
    <row r="62" spans="2:34" s="305" customFormat="1" ht="12" outlineLevel="1" x14ac:dyDescent="0.2">
      <c r="B62" s="306" t="s">
        <v>52</v>
      </c>
      <c r="C62" s="314" t="s">
        <v>202</v>
      </c>
      <c r="E62" s="324"/>
      <c r="F62" s="482"/>
      <c r="G62" s="482"/>
      <c r="H62" s="482"/>
      <c r="I62" s="346"/>
      <c r="J62" s="461"/>
      <c r="K62" s="446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377"/>
      <c r="Z62" s="307"/>
      <c r="AB62" s="307"/>
      <c r="AD62" s="307"/>
      <c r="AG62" s="447"/>
      <c r="AH62" s="447"/>
    </row>
    <row r="63" spans="2:34" s="305" customFormat="1" ht="12" outlineLevel="1" x14ac:dyDescent="0.2">
      <c r="B63" s="307"/>
      <c r="C63" s="487" t="s">
        <v>79</v>
      </c>
      <c r="D63" s="487" t="s">
        <v>316</v>
      </c>
      <c r="E63" s="488" t="s">
        <v>317</v>
      </c>
      <c r="F63" s="484" t="s">
        <v>84</v>
      </c>
      <c r="G63" s="463" t="s">
        <v>81</v>
      </c>
      <c r="H63" s="484"/>
      <c r="I63" s="484" t="s">
        <v>84</v>
      </c>
      <c r="J63" s="451" t="str">
        <f>$J$6</f>
        <v>FY21 -Full</v>
      </c>
      <c r="K63" s="489" t="s">
        <v>318</v>
      </c>
      <c r="L63" s="585" t="s">
        <v>155</v>
      </c>
      <c r="M63" s="585" t="s">
        <v>156</v>
      </c>
      <c r="N63" s="585" t="s">
        <v>157</v>
      </c>
      <c r="O63" s="585" t="s">
        <v>158</v>
      </c>
      <c r="P63" s="585" t="s">
        <v>159</v>
      </c>
      <c r="Q63" s="585" t="s">
        <v>160</v>
      </c>
      <c r="R63" s="585" t="s">
        <v>161</v>
      </c>
      <c r="S63" s="585" t="s">
        <v>162</v>
      </c>
      <c r="T63" s="585" t="s">
        <v>163</v>
      </c>
      <c r="U63" s="585" t="s">
        <v>164</v>
      </c>
      <c r="V63" s="585" t="s">
        <v>165</v>
      </c>
      <c r="W63" s="585" t="s">
        <v>166</v>
      </c>
      <c r="X63" s="660"/>
      <c r="Y63" s="661" t="str">
        <f>$X$6</f>
        <v>FY22</v>
      </c>
      <c r="Z63" s="662" t="str">
        <f>IF(X63="","",X63)</f>
        <v/>
      </c>
      <c r="AA63" s="661" t="str">
        <f>$Z$6</f>
        <v>FY23</v>
      </c>
      <c r="AB63" s="662" t="str">
        <f>IF(Z63="","",Z63)</f>
        <v/>
      </c>
      <c r="AC63" s="661" t="str">
        <f>$AB$6</f>
        <v>FY24</v>
      </c>
      <c r="AD63" s="662" t="str">
        <f>IF(AB63="","",AB63)</f>
        <v/>
      </c>
      <c r="AE63" s="661" t="str">
        <f>$AD$6</f>
        <v>FY25</v>
      </c>
      <c r="AG63" s="447"/>
      <c r="AH63" s="447"/>
    </row>
    <row r="64" spans="2:34" s="305" customFormat="1" ht="12" outlineLevel="1" x14ac:dyDescent="0.2">
      <c r="B64" s="307"/>
      <c r="C64" s="536" t="s">
        <v>551</v>
      </c>
      <c r="D64" s="536" t="s">
        <v>511</v>
      </c>
      <c r="E64" s="537">
        <v>50</v>
      </c>
      <c r="F64" s="485" t="s">
        <v>84</v>
      </c>
      <c r="G64" s="673"/>
      <c r="H64" s="674">
        <f t="shared" ref="H64:H65" si="113">IF(COUNTA(G64)=1,K64,0)</f>
        <v>0</v>
      </c>
      <c r="I64" s="485" t="s">
        <v>84</v>
      </c>
      <c r="J64" s="466">
        <f>E64*SUM(L64:W64)</f>
        <v>1000</v>
      </c>
      <c r="K64" s="467">
        <f>E64*SUM(L64:W64)</f>
        <v>1000</v>
      </c>
      <c r="L64" s="586"/>
      <c r="M64" s="586"/>
      <c r="N64" s="586"/>
      <c r="O64" s="586">
        <v>5</v>
      </c>
      <c r="P64" s="586">
        <v>5</v>
      </c>
      <c r="Q64" s="586">
        <v>5</v>
      </c>
      <c r="R64" s="586">
        <v>5</v>
      </c>
      <c r="S64" s="586"/>
      <c r="T64" s="586"/>
      <c r="U64" s="586"/>
      <c r="V64" s="586"/>
      <c r="W64" s="586"/>
      <c r="X64" s="465"/>
      <c r="Y64" s="468">
        <f>IF(J64="","",J64*(1+Y$7))</f>
        <v>1020</v>
      </c>
      <c r="Z64" s="469"/>
      <c r="AA64" s="468">
        <f>IF(Y64="","",Y64*(1+AA$7))</f>
        <v>1040.4000000000001</v>
      </c>
      <c r="AB64" s="469"/>
      <c r="AC64" s="468">
        <f>IF(AA64="","",AA64*(1+AC$7))</f>
        <v>1061.2080000000001</v>
      </c>
      <c r="AD64" s="469"/>
      <c r="AE64" s="468">
        <f>IF(AC64="","",AC64*(1+AE$7))</f>
        <v>1082.4321600000001</v>
      </c>
      <c r="AG64" s="447"/>
      <c r="AH64" s="447"/>
    </row>
    <row r="65" spans="2:34" s="305" customFormat="1" ht="12" outlineLevel="1" x14ac:dyDescent="0.2">
      <c r="B65" s="307"/>
      <c r="C65" s="540"/>
      <c r="D65" s="540"/>
      <c r="E65" s="541"/>
      <c r="F65" s="485" t="s">
        <v>84</v>
      </c>
      <c r="G65" s="673"/>
      <c r="H65" s="674">
        <f t="shared" si="113"/>
        <v>0</v>
      </c>
      <c r="I65" s="485" t="s">
        <v>84</v>
      </c>
      <c r="J65" s="466">
        <f t="shared" ref="J65" si="114">E65*SUM(L65:W65)</f>
        <v>0</v>
      </c>
      <c r="K65" s="467">
        <f t="shared" ref="K65" si="115">E65*SUM(L65:W65)</f>
        <v>0</v>
      </c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465"/>
      <c r="Y65" s="468">
        <f t="shared" ref="Y65" si="116">IF(J65="","",J65*(1+Y$7))</f>
        <v>0</v>
      </c>
      <c r="Z65" s="469"/>
      <c r="AA65" s="468">
        <f t="shared" ref="AA65" si="117">IF(Y65="","",Y65*(1+AA$7))</f>
        <v>0</v>
      </c>
      <c r="AB65" s="469"/>
      <c r="AC65" s="468">
        <f t="shared" ref="AC65" si="118">IF(AA65="","",AA65*(1+AC$7))</f>
        <v>0</v>
      </c>
      <c r="AD65" s="469"/>
      <c r="AE65" s="468">
        <f t="shared" ref="AE65" si="119">IF(AC65="","",AC65*(1+AE$7))</f>
        <v>0</v>
      </c>
      <c r="AG65" s="447"/>
      <c r="AH65" s="447"/>
    </row>
    <row r="66" spans="2:34" s="305" customFormat="1" ht="6.6" customHeight="1" outlineLevel="1" thickBot="1" x14ac:dyDescent="0.25">
      <c r="B66" s="307"/>
      <c r="C66" s="309"/>
      <c r="D66" s="309"/>
      <c r="E66" s="308"/>
      <c r="F66" s="483"/>
      <c r="G66" s="483"/>
      <c r="H66" s="483"/>
      <c r="I66" s="472"/>
      <c r="J66" s="473"/>
      <c r="K66" s="474"/>
      <c r="L66" s="588"/>
      <c r="M66" s="588"/>
      <c r="N66" s="588"/>
      <c r="O66" s="588"/>
      <c r="P66" s="588"/>
      <c r="Q66" s="588"/>
      <c r="R66" s="588"/>
      <c r="S66" s="588"/>
      <c r="T66" s="588"/>
      <c r="U66" s="588"/>
      <c r="V66" s="588"/>
      <c r="W66" s="588"/>
      <c r="X66" s="376"/>
      <c r="Y66" s="475"/>
      <c r="Z66" s="310"/>
      <c r="AA66" s="475"/>
      <c r="AB66" s="310"/>
      <c r="AC66" s="475"/>
      <c r="AD66" s="310"/>
      <c r="AE66" s="475"/>
      <c r="AG66" s="470"/>
      <c r="AH66" s="470"/>
    </row>
    <row r="67" spans="2:34" s="314" customFormat="1" ht="12.75" thickBot="1" x14ac:dyDescent="0.25">
      <c r="B67" s="306"/>
      <c r="C67" s="309" t="str">
        <f>C62</f>
        <v>Extra Duties: Licensed Admin</v>
      </c>
      <c r="D67" s="476"/>
      <c r="E67" s="477"/>
      <c r="F67" s="651">
        <v>6164</v>
      </c>
      <c r="G67" s="651"/>
      <c r="H67" s="651"/>
      <c r="I67" s="652"/>
      <c r="J67" s="653">
        <f>SUBTOTAL(9,J63:J66)</f>
        <v>1000</v>
      </c>
      <c r="K67" s="654">
        <f>SUBTOTAL(9,K63:K66)</f>
        <v>1000</v>
      </c>
      <c r="L67" s="623">
        <f>SUMPRODUCT(Payroll!$E$64:$E$66,Payroll!L64:L66)</f>
        <v>0</v>
      </c>
      <c r="M67" s="623">
        <f>SUMPRODUCT(Payroll!$E$64:$E$66,Payroll!M64:M66)</f>
        <v>0</v>
      </c>
      <c r="N67" s="623">
        <f>SUMPRODUCT(Payroll!$E$64:$E$66,Payroll!N64:N66)</f>
        <v>0</v>
      </c>
      <c r="O67" s="623">
        <f>SUMPRODUCT(Payroll!$E$64:$E$66,Payroll!O64:O66)</f>
        <v>250</v>
      </c>
      <c r="P67" s="623">
        <f>SUMPRODUCT(Payroll!$E$64:$E$66,Payroll!P64:P66)</f>
        <v>250</v>
      </c>
      <c r="Q67" s="623">
        <f>SUMPRODUCT(Payroll!$E$64:$E$66,Payroll!Q64:Q66)</f>
        <v>250</v>
      </c>
      <c r="R67" s="623">
        <f>SUMPRODUCT(Payroll!$E$64:$E$66,Payroll!R64:R66)</f>
        <v>250</v>
      </c>
      <c r="S67" s="623">
        <f>SUMPRODUCT(Payroll!$E$64:$E$66,Payroll!S64:S66)</f>
        <v>0</v>
      </c>
      <c r="T67" s="623">
        <f>SUMPRODUCT(Payroll!$E$64:$E$66,Payroll!T64:T66)</f>
        <v>0</v>
      </c>
      <c r="U67" s="623">
        <f>SUMPRODUCT(Payroll!$E$64:$E$66,Payroll!U64:U66)</f>
        <v>0</v>
      </c>
      <c r="V67" s="623">
        <f>SUMPRODUCT(Payroll!$E$64:$E$66,Payroll!V64:V66)</f>
        <v>0</v>
      </c>
      <c r="W67" s="623">
        <f>SUMPRODUCT(Payroll!$E$64:$E$66,Payroll!W64:W66)</f>
        <v>0</v>
      </c>
      <c r="X67" s="547"/>
      <c r="Y67" s="548">
        <f>SUBTOTAL(9,Y63:Y66)</f>
        <v>1020</v>
      </c>
      <c r="Z67" s="549"/>
      <c r="AA67" s="548">
        <f>SUBTOTAL(9,AA63:AA66)</f>
        <v>1040.4000000000001</v>
      </c>
      <c r="AB67" s="549"/>
      <c r="AC67" s="548">
        <f>SUBTOTAL(9,AC63:AC66)</f>
        <v>1061.2080000000001</v>
      </c>
      <c r="AD67" s="549"/>
      <c r="AE67" s="548">
        <f>SUBTOTAL(9,AE63:AE66)</f>
        <v>1082.4321600000001</v>
      </c>
      <c r="AG67" s="481">
        <v>0.01</v>
      </c>
      <c r="AH67" s="481">
        <f>K67-AG67</f>
        <v>999.99</v>
      </c>
    </row>
    <row r="68" spans="2:34" s="305" customFormat="1" ht="12" outlineLevel="1" x14ac:dyDescent="0.2">
      <c r="B68" s="306" t="s">
        <v>53</v>
      </c>
      <c r="C68" s="314" t="s">
        <v>211</v>
      </c>
      <c r="E68" s="324"/>
      <c r="F68" s="482"/>
      <c r="G68" s="482"/>
      <c r="H68" s="482"/>
      <c r="I68" s="346"/>
      <c r="J68" s="461"/>
      <c r="K68" s="446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377"/>
      <c r="Z68" s="307"/>
      <c r="AB68" s="307"/>
      <c r="AD68" s="307"/>
      <c r="AG68" s="447"/>
      <c r="AH68" s="447"/>
    </row>
    <row r="69" spans="2:34" s="305" customFormat="1" ht="12" outlineLevel="1" x14ac:dyDescent="0.2">
      <c r="B69" s="307"/>
      <c r="C69" s="487" t="s">
        <v>79</v>
      </c>
      <c r="D69" s="487" t="s">
        <v>316</v>
      </c>
      <c r="E69" s="488" t="s">
        <v>317</v>
      </c>
      <c r="F69" s="484" t="s">
        <v>84</v>
      </c>
      <c r="G69" s="463" t="s">
        <v>81</v>
      </c>
      <c r="H69" s="484"/>
      <c r="I69" s="484" t="s">
        <v>84</v>
      </c>
      <c r="J69" s="451" t="str">
        <f>$J$6</f>
        <v>FY21 -Full</v>
      </c>
      <c r="K69" s="489" t="s">
        <v>318</v>
      </c>
      <c r="L69" s="585" t="s">
        <v>155</v>
      </c>
      <c r="M69" s="585" t="s">
        <v>156</v>
      </c>
      <c r="N69" s="585" t="s">
        <v>157</v>
      </c>
      <c r="O69" s="585" t="s">
        <v>158</v>
      </c>
      <c r="P69" s="585" t="s">
        <v>159</v>
      </c>
      <c r="Q69" s="585" t="s">
        <v>160</v>
      </c>
      <c r="R69" s="585" t="s">
        <v>161</v>
      </c>
      <c r="S69" s="585" t="s">
        <v>162</v>
      </c>
      <c r="T69" s="585" t="s">
        <v>163</v>
      </c>
      <c r="U69" s="585" t="s">
        <v>164</v>
      </c>
      <c r="V69" s="585" t="s">
        <v>165</v>
      </c>
      <c r="W69" s="585" t="s">
        <v>166</v>
      </c>
      <c r="X69" s="660"/>
      <c r="Y69" s="661" t="str">
        <f>$X$6</f>
        <v>FY22</v>
      </c>
      <c r="Z69" s="662" t="str">
        <f>IF(X69="","",X69)</f>
        <v/>
      </c>
      <c r="AA69" s="661" t="str">
        <f>$Z$6</f>
        <v>FY23</v>
      </c>
      <c r="AB69" s="662" t="str">
        <f>IF(Z69="","",Z69)</f>
        <v/>
      </c>
      <c r="AC69" s="661" t="str">
        <f>$AB$6</f>
        <v>FY24</v>
      </c>
      <c r="AD69" s="662" t="str">
        <f>IF(AB69="","",AB69)</f>
        <v/>
      </c>
      <c r="AE69" s="661" t="str">
        <f>$AD$6</f>
        <v>FY25</v>
      </c>
      <c r="AG69" s="447"/>
      <c r="AH69" s="447"/>
    </row>
    <row r="70" spans="2:34" s="305" customFormat="1" ht="12" outlineLevel="1" x14ac:dyDescent="0.2">
      <c r="B70" s="307"/>
      <c r="C70" s="536" t="s">
        <v>552</v>
      </c>
      <c r="D70" s="536" t="s">
        <v>512</v>
      </c>
      <c r="E70" s="537">
        <v>30</v>
      </c>
      <c r="F70" s="485" t="s">
        <v>84</v>
      </c>
      <c r="G70" s="673"/>
      <c r="H70" s="674">
        <f t="shared" ref="H70:H71" si="120">IF(COUNTA(G70)=1,K70,0)</f>
        <v>0</v>
      </c>
      <c r="I70" s="485" t="s">
        <v>84</v>
      </c>
      <c r="J70" s="466">
        <f t="shared" ref="J70:J71" si="121">E70*SUM(L70:W70)</f>
        <v>600</v>
      </c>
      <c r="K70" s="467">
        <f t="shared" ref="K70:K71" si="122">E70*SUM(L70:W70)</f>
        <v>600</v>
      </c>
      <c r="L70" s="586"/>
      <c r="M70" s="586"/>
      <c r="N70" s="586"/>
      <c r="O70" s="586">
        <v>5</v>
      </c>
      <c r="P70" s="586">
        <v>5</v>
      </c>
      <c r="Q70" s="586">
        <v>5</v>
      </c>
      <c r="R70" s="586">
        <v>5</v>
      </c>
      <c r="S70" s="586"/>
      <c r="T70" s="586"/>
      <c r="U70" s="586"/>
      <c r="V70" s="586"/>
      <c r="W70" s="586"/>
      <c r="X70" s="465"/>
      <c r="Y70" s="468">
        <f>IF(J70="","",J70*(1+Y$7))</f>
        <v>612</v>
      </c>
      <c r="Z70" s="469"/>
      <c r="AA70" s="468">
        <f>IF(Y70="","",Y70*(1+AA$7))</f>
        <v>624.24</v>
      </c>
      <c r="AB70" s="469"/>
      <c r="AC70" s="468">
        <f>IF(AA70="","",AA70*(1+AC$7))</f>
        <v>636.72480000000007</v>
      </c>
      <c r="AD70" s="469"/>
      <c r="AE70" s="468">
        <f>IF(AC70="","",AC70*(1+AE$7))</f>
        <v>649.45929600000011</v>
      </c>
      <c r="AG70" s="447"/>
      <c r="AH70" s="447"/>
    </row>
    <row r="71" spans="2:34" s="305" customFormat="1" ht="12" outlineLevel="1" x14ac:dyDescent="0.2">
      <c r="B71" s="307"/>
      <c r="C71" s="540"/>
      <c r="D71" s="540"/>
      <c r="E71" s="541"/>
      <c r="F71" s="485" t="s">
        <v>84</v>
      </c>
      <c r="G71" s="673"/>
      <c r="H71" s="674">
        <f t="shared" si="120"/>
        <v>0</v>
      </c>
      <c r="I71" s="485" t="s">
        <v>84</v>
      </c>
      <c r="J71" s="466">
        <f t="shared" si="121"/>
        <v>0</v>
      </c>
      <c r="K71" s="467">
        <f t="shared" si="122"/>
        <v>0</v>
      </c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465"/>
      <c r="Y71" s="468">
        <f t="shared" ref="Y71" si="123">IF(J71="","",J71*(1+Y$7))</f>
        <v>0</v>
      </c>
      <c r="Z71" s="469"/>
      <c r="AA71" s="468">
        <f t="shared" ref="AA71" si="124">IF(Y71="","",Y71*(1+AA$7))</f>
        <v>0</v>
      </c>
      <c r="AB71" s="469"/>
      <c r="AC71" s="468">
        <f t="shared" ref="AC71" si="125">IF(AA71="","",AA71*(1+AC$7))</f>
        <v>0</v>
      </c>
      <c r="AD71" s="469"/>
      <c r="AE71" s="468">
        <f t="shared" ref="AE71" si="126">IF(AC71="","",AC71*(1+AE$7))</f>
        <v>0</v>
      </c>
      <c r="AG71" s="447"/>
      <c r="AH71" s="447"/>
    </row>
    <row r="72" spans="2:34" s="305" customFormat="1" ht="6.6" customHeight="1" outlineLevel="1" thickBot="1" x14ac:dyDescent="0.25">
      <c r="B72" s="307"/>
      <c r="C72" s="309"/>
      <c r="D72" s="309"/>
      <c r="E72" s="308"/>
      <c r="F72" s="483"/>
      <c r="G72" s="483"/>
      <c r="H72" s="483"/>
      <c r="I72" s="472"/>
      <c r="J72" s="473"/>
      <c r="K72" s="474"/>
      <c r="L72" s="588"/>
      <c r="M72" s="588"/>
      <c r="N72" s="588"/>
      <c r="O72" s="588"/>
      <c r="P72" s="588"/>
      <c r="Q72" s="588"/>
      <c r="R72" s="588"/>
      <c r="S72" s="588"/>
      <c r="T72" s="588"/>
      <c r="U72" s="588"/>
      <c r="V72" s="588"/>
      <c r="W72" s="588"/>
      <c r="X72" s="376"/>
      <c r="Y72" s="475"/>
      <c r="Z72" s="310"/>
      <c r="AA72" s="475"/>
      <c r="AB72" s="310"/>
      <c r="AC72" s="475"/>
      <c r="AD72" s="310"/>
      <c r="AE72" s="475"/>
      <c r="AG72" s="447"/>
      <c r="AH72" s="447"/>
    </row>
    <row r="73" spans="2:34" s="314" customFormat="1" ht="12.75" thickBot="1" x14ac:dyDescent="0.25">
      <c r="B73" s="306"/>
      <c r="C73" s="309" t="str">
        <f>C68</f>
        <v>Extra Duties: Other Classified/Support Staff</v>
      </c>
      <c r="D73" s="476"/>
      <c r="E73" s="477"/>
      <c r="F73" s="651">
        <v>6167</v>
      </c>
      <c r="G73" s="651"/>
      <c r="H73" s="651"/>
      <c r="I73" s="652"/>
      <c r="J73" s="653">
        <f>SUBTOTAL(9,J69:J72)</f>
        <v>600</v>
      </c>
      <c r="K73" s="654">
        <f>SUBTOTAL(9,K69:K72)</f>
        <v>600</v>
      </c>
      <c r="L73" s="623">
        <f>SUMPRODUCT(Payroll!$E$70:$E$72,Payroll!L70:L72)</f>
        <v>0</v>
      </c>
      <c r="M73" s="623">
        <f>SUMPRODUCT(Payroll!$E$70:$E$72,Payroll!M70:M72)</f>
        <v>0</v>
      </c>
      <c r="N73" s="623">
        <f>SUMPRODUCT(Payroll!$E$70:$E$72,Payroll!N70:N72)</f>
        <v>0</v>
      </c>
      <c r="O73" s="623">
        <f>SUMPRODUCT(Payroll!$E$70:$E$72,Payroll!O70:O72)</f>
        <v>150</v>
      </c>
      <c r="P73" s="623">
        <f>SUMPRODUCT(Payroll!$E$70:$E$72,Payroll!P70:P72)</f>
        <v>150</v>
      </c>
      <c r="Q73" s="623">
        <f>SUMPRODUCT(Payroll!$E$70:$E$72,Payroll!Q70:Q72)</f>
        <v>150</v>
      </c>
      <c r="R73" s="623">
        <f>SUMPRODUCT(Payroll!$E$70:$E$72,Payroll!R70:R72)</f>
        <v>150</v>
      </c>
      <c r="S73" s="623">
        <f>SUMPRODUCT(Payroll!$E$70:$E$72,Payroll!S70:S72)</f>
        <v>0</v>
      </c>
      <c r="T73" s="623">
        <f>SUMPRODUCT(Payroll!$E$70:$E$72,Payroll!T70:T72)</f>
        <v>0</v>
      </c>
      <c r="U73" s="623">
        <f>SUMPRODUCT(Payroll!$E$70:$E$72,Payroll!U70:U72)</f>
        <v>0</v>
      </c>
      <c r="V73" s="623">
        <f>SUMPRODUCT(Payroll!$E$70:$E$72,Payroll!V70:V72)</f>
        <v>0</v>
      </c>
      <c r="W73" s="623">
        <f>SUMPRODUCT(Payroll!$E$70:$E$72,Payroll!W70:W72)</f>
        <v>0</v>
      </c>
      <c r="X73" s="546"/>
      <c r="Y73" s="544">
        <f>SUBTOTAL(9,Y69:Y72)</f>
        <v>612</v>
      </c>
      <c r="Z73" s="545"/>
      <c r="AA73" s="544">
        <f>SUBTOTAL(9,AA69:AA72)</f>
        <v>624.24</v>
      </c>
      <c r="AB73" s="545"/>
      <c r="AC73" s="544">
        <f>SUBTOTAL(9,AC69:AC72)</f>
        <v>636.72480000000007</v>
      </c>
      <c r="AD73" s="545"/>
      <c r="AE73" s="544">
        <f>SUBTOTAL(9,AE69:AE72)</f>
        <v>649.45929600000011</v>
      </c>
      <c r="AG73" s="481">
        <v>0.01</v>
      </c>
      <c r="AH73" s="481">
        <f>K73-AG73</f>
        <v>599.99</v>
      </c>
    </row>
    <row r="74" spans="2:34" s="314" customFormat="1" ht="12" x14ac:dyDescent="0.2">
      <c r="B74" s="306"/>
      <c r="C74" s="490" t="s">
        <v>236</v>
      </c>
      <c r="D74" s="490"/>
      <c r="E74" s="491"/>
      <c r="F74" s="403"/>
      <c r="G74" s="403"/>
      <c r="H74" s="403"/>
      <c r="I74" s="492"/>
      <c r="J74" s="473">
        <f>SUBTOTAL(9,J8:J73)</f>
        <v>312119.89500000002</v>
      </c>
      <c r="K74" s="342">
        <f>SUBTOTAL(9,K8:K73)</f>
        <v>312119.89500000002</v>
      </c>
      <c r="L74" s="342">
        <f t="shared" ref="L74:W74" si="127">L73+L67+L61+L54+L48+L42+L35+L26+L20+L14</f>
        <v>24452.074583333335</v>
      </c>
      <c r="M74" s="342">
        <f t="shared" si="127"/>
        <v>24452.074583333335</v>
      </c>
      <c r="N74" s="342">
        <f t="shared" si="127"/>
        <v>27631.074583333335</v>
      </c>
      <c r="O74" s="342">
        <f t="shared" si="127"/>
        <v>27402.074583333335</v>
      </c>
      <c r="P74" s="342">
        <f t="shared" si="127"/>
        <v>26081.074583333335</v>
      </c>
      <c r="Q74" s="342">
        <f t="shared" si="127"/>
        <v>25152.074583333335</v>
      </c>
      <c r="R74" s="342">
        <f t="shared" si="127"/>
        <v>26081.074583333335</v>
      </c>
      <c r="S74" s="342">
        <f t="shared" si="127"/>
        <v>26702.074583333335</v>
      </c>
      <c r="T74" s="342">
        <f t="shared" si="127"/>
        <v>27631.074583333335</v>
      </c>
      <c r="U74" s="342">
        <f t="shared" si="127"/>
        <v>25381.074583333335</v>
      </c>
      <c r="V74" s="342">
        <f t="shared" si="127"/>
        <v>24452.074583333335</v>
      </c>
      <c r="W74" s="342">
        <f t="shared" si="127"/>
        <v>26702.074583333335</v>
      </c>
      <c r="X74" s="494"/>
      <c r="Y74" s="493">
        <f>SUBTOTAL(9,Y8:Y73)</f>
        <v>318362.2929</v>
      </c>
      <c r="Z74" s="476"/>
      <c r="AA74" s="493">
        <f>SUBTOTAL(9,AA8:AA73)</f>
        <v>324729.53875800001</v>
      </c>
      <c r="AB74" s="476"/>
      <c r="AC74" s="493">
        <f>SUBTOTAL(9,AC8:AC73)</f>
        <v>331224.12953316007</v>
      </c>
      <c r="AD74" s="476"/>
      <c r="AE74" s="493">
        <f>SUBTOTAL(9,AE8:AE73)</f>
        <v>337848.61212382338</v>
      </c>
      <c r="AG74" s="447"/>
      <c r="AH74" s="447"/>
    </row>
    <row r="75" spans="2:34" s="314" customFormat="1" ht="12" x14ac:dyDescent="0.2">
      <c r="B75" s="306"/>
      <c r="C75" s="490"/>
      <c r="D75" s="490"/>
      <c r="E75" s="491"/>
      <c r="F75" s="403"/>
      <c r="G75" s="403"/>
      <c r="H75" s="403"/>
      <c r="I75" s="492"/>
      <c r="J75" s="473"/>
      <c r="K75" s="342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494"/>
      <c r="Y75" s="493"/>
      <c r="Z75" s="476"/>
      <c r="AA75" s="493"/>
      <c r="AB75" s="476"/>
      <c r="AC75" s="493"/>
      <c r="AD75" s="476"/>
      <c r="AE75" s="493"/>
      <c r="AG75" s="447"/>
      <c r="AH75" s="447"/>
    </row>
    <row r="76" spans="2:34" s="305" customFormat="1" ht="12" x14ac:dyDescent="0.2">
      <c r="B76" s="703" t="s">
        <v>85</v>
      </c>
      <c r="C76" s="704"/>
      <c r="D76" s="704"/>
      <c r="E76" s="704"/>
      <c r="F76" s="704"/>
      <c r="G76" s="704"/>
      <c r="H76" s="704"/>
      <c r="I76" s="704"/>
      <c r="J76" s="704"/>
      <c r="K76" s="704"/>
      <c r="L76" s="704"/>
      <c r="M76" s="704"/>
      <c r="N76" s="704"/>
      <c r="O76" s="704"/>
      <c r="P76" s="704"/>
      <c r="Q76" s="704"/>
      <c r="R76" s="704"/>
      <c r="S76" s="704"/>
      <c r="T76" s="704"/>
      <c r="U76" s="704"/>
      <c r="V76" s="704"/>
      <c r="W76" s="704"/>
      <c r="X76" s="704"/>
      <c r="Y76" s="704"/>
      <c r="Z76" s="704"/>
      <c r="AA76" s="704"/>
      <c r="AB76" s="704"/>
      <c r="AC76" s="704"/>
      <c r="AD76" s="704"/>
      <c r="AE76" s="705"/>
      <c r="AG76" s="470"/>
      <c r="AH76" s="470"/>
    </row>
    <row r="77" spans="2:34" s="305" customFormat="1" ht="12" x14ac:dyDescent="0.2">
      <c r="B77" s="476"/>
      <c r="C77" s="476"/>
      <c r="D77" s="476"/>
      <c r="E77" s="477"/>
      <c r="F77" s="383" t="s">
        <v>573</v>
      </c>
      <c r="G77" s="383"/>
      <c r="H77" s="383"/>
      <c r="I77" s="492"/>
      <c r="K77" s="495"/>
      <c r="L77" s="590"/>
      <c r="M77" s="590"/>
      <c r="N77" s="590"/>
      <c r="O77" s="590"/>
      <c r="P77" s="590"/>
      <c r="Q77" s="590"/>
      <c r="R77" s="590"/>
      <c r="S77" s="590"/>
      <c r="T77" s="590"/>
      <c r="U77" s="590"/>
      <c r="V77" s="590"/>
      <c r="W77" s="590"/>
      <c r="X77" s="494"/>
      <c r="Y77" s="476"/>
      <c r="Z77" s="476"/>
      <c r="AA77" s="476"/>
      <c r="AB77" s="476"/>
      <c r="AC77" s="476"/>
      <c r="AD77" s="476"/>
      <c r="AE77" s="476"/>
      <c r="AG77" s="447"/>
      <c r="AH77" s="447"/>
    </row>
    <row r="78" spans="2:34" s="305" customFormat="1" ht="12" x14ac:dyDescent="0.2">
      <c r="B78" s="306"/>
      <c r="C78" s="305" t="s">
        <v>89</v>
      </c>
      <c r="E78" s="324"/>
      <c r="F78" s="381">
        <v>2</v>
      </c>
      <c r="G78" s="671"/>
      <c r="H78" s="671"/>
      <c r="I78" s="346"/>
      <c r="K78" s="341">
        <f>F78*12</f>
        <v>24</v>
      </c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521"/>
      <c r="W78" s="521"/>
      <c r="X78" s="379"/>
      <c r="Y78" s="308">
        <f>K78*(1+Y$7)</f>
        <v>24.48</v>
      </c>
      <c r="Z78" s="309"/>
      <c r="AA78" s="308">
        <f>Y78*(1+AA$7)</f>
        <v>24.9696</v>
      </c>
      <c r="AB78" s="310"/>
      <c r="AC78" s="308">
        <f>AA78*(1+AC$7)</f>
        <v>25.468992</v>
      </c>
      <c r="AD78" s="310"/>
      <c r="AE78" s="308">
        <f>AC78*(1+AE$7)</f>
        <v>25.978371840000001</v>
      </c>
      <c r="AG78" s="447"/>
      <c r="AH78" s="447"/>
    </row>
    <row r="79" spans="2:34" s="305" customFormat="1" ht="12" x14ac:dyDescent="0.2">
      <c r="B79" s="306"/>
      <c r="C79" s="305" t="s">
        <v>90</v>
      </c>
      <c r="E79" s="324"/>
      <c r="F79" s="381">
        <v>12</v>
      </c>
      <c r="G79" s="671"/>
      <c r="H79" s="671"/>
      <c r="I79" s="346"/>
      <c r="K79" s="341">
        <f>F79*12</f>
        <v>144</v>
      </c>
      <c r="L79" s="521"/>
      <c r="M79" s="521"/>
      <c r="N79" s="521"/>
      <c r="O79" s="521"/>
      <c r="P79" s="521"/>
      <c r="Q79" s="521"/>
      <c r="R79" s="521"/>
      <c r="S79" s="521"/>
      <c r="T79" s="521"/>
      <c r="U79" s="521"/>
      <c r="V79" s="521"/>
      <c r="W79" s="521"/>
      <c r="X79" s="379"/>
      <c r="Y79" s="308">
        <f>K79*(1+Y$7)</f>
        <v>146.88</v>
      </c>
      <c r="Z79" s="309"/>
      <c r="AA79" s="308">
        <f t="shared" ref="AA79:AE80" si="128">Y79*(1+AA$7)</f>
        <v>149.8176</v>
      </c>
      <c r="AB79" s="310"/>
      <c r="AC79" s="308">
        <f t="shared" si="128"/>
        <v>152.813952</v>
      </c>
      <c r="AD79" s="310"/>
      <c r="AE79" s="308">
        <f t="shared" si="128"/>
        <v>155.87023103999999</v>
      </c>
      <c r="AG79" s="447"/>
      <c r="AH79" s="447"/>
    </row>
    <row r="80" spans="2:34" s="305" customFormat="1" ht="12" x14ac:dyDescent="0.2">
      <c r="B80" s="306"/>
      <c r="C80" s="305" t="s">
        <v>91</v>
      </c>
      <c r="E80" s="324"/>
      <c r="F80" s="381">
        <v>23</v>
      </c>
      <c r="G80" s="671"/>
      <c r="H80" s="671"/>
      <c r="I80" s="346"/>
      <c r="K80" s="341">
        <f>F80*12</f>
        <v>276</v>
      </c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379"/>
      <c r="Y80" s="308">
        <f>K80*(1+Y$7)</f>
        <v>281.52</v>
      </c>
      <c r="Z80" s="309"/>
      <c r="AA80" s="308">
        <f t="shared" si="128"/>
        <v>287.15039999999999</v>
      </c>
      <c r="AB80" s="310"/>
      <c r="AC80" s="308">
        <f t="shared" si="128"/>
        <v>292.89340800000002</v>
      </c>
      <c r="AD80" s="310"/>
      <c r="AE80" s="308">
        <f t="shared" si="128"/>
        <v>298.75127616000003</v>
      </c>
      <c r="AG80" s="447"/>
      <c r="AH80" s="447"/>
    </row>
    <row r="81" spans="2:34" s="305" customFormat="1" ht="12" x14ac:dyDescent="0.2">
      <c r="B81" s="306"/>
      <c r="C81" s="311" t="s">
        <v>88</v>
      </c>
      <c r="E81" s="324"/>
      <c r="F81" s="646">
        <f>SUM(F78:F80)</f>
        <v>37</v>
      </c>
      <c r="G81" s="646"/>
      <c r="H81" s="646"/>
      <c r="I81" s="346"/>
      <c r="K81" s="342">
        <f>SUM(K78:K80)</f>
        <v>444</v>
      </c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376"/>
      <c r="Y81" s="312">
        <f>SUM(Y78:Y80)</f>
        <v>452.88</v>
      </c>
      <c r="Z81" s="310"/>
      <c r="AA81" s="312">
        <f>SUM(AA78:AA80)</f>
        <v>461.93759999999997</v>
      </c>
      <c r="AB81" s="310"/>
      <c r="AC81" s="312">
        <f>SUM(AC78:AC80)</f>
        <v>471.17635200000001</v>
      </c>
      <c r="AD81" s="310"/>
      <c r="AE81" s="312">
        <f>SUM(AE78:AE80)</f>
        <v>480.59987904000002</v>
      </c>
      <c r="AG81" s="447"/>
      <c r="AH81" s="447"/>
    </row>
    <row r="82" spans="2:34" s="305" customFormat="1" ht="12" x14ac:dyDescent="0.2">
      <c r="B82" s="306"/>
      <c r="C82" s="311"/>
      <c r="E82" s="324"/>
      <c r="F82" s="382"/>
      <c r="G82" s="382"/>
      <c r="H82" s="382"/>
      <c r="I82" s="346"/>
      <c r="K82" s="343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377"/>
      <c r="Y82" s="313"/>
      <c r="Z82" s="307"/>
      <c r="AA82" s="313"/>
      <c r="AB82" s="307"/>
      <c r="AC82" s="313"/>
      <c r="AD82" s="307"/>
      <c r="AG82" s="447"/>
      <c r="AH82" s="447"/>
    </row>
    <row r="83" spans="2:34" s="305" customFormat="1" ht="12" x14ac:dyDescent="0.2">
      <c r="B83" s="306"/>
      <c r="C83" s="314" t="s">
        <v>86</v>
      </c>
      <c r="E83" s="324"/>
      <c r="F83" s="382"/>
      <c r="G83" s="382"/>
      <c r="H83" s="382"/>
      <c r="I83" s="346"/>
      <c r="K83" s="315">
        <v>6.2E-2</v>
      </c>
      <c r="L83" s="592"/>
      <c r="M83" s="592"/>
      <c r="N83" s="592"/>
      <c r="O83" s="592"/>
      <c r="P83" s="592"/>
      <c r="Q83" s="592"/>
      <c r="R83" s="592"/>
      <c r="S83" s="592"/>
      <c r="T83" s="592"/>
      <c r="U83" s="592"/>
      <c r="V83" s="592"/>
      <c r="W83" s="592"/>
      <c r="X83" s="377"/>
      <c r="Y83" s="317">
        <f>K83</f>
        <v>6.2E-2</v>
      </c>
      <c r="Z83" s="307"/>
      <c r="AA83" s="317">
        <f>Y83</f>
        <v>6.2E-2</v>
      </c>
      <c r="AB83" s="307"/>
      <c r="AC83" s="317">
        <f>AA83</f>
        <v>6.2E-2</v>
      </c>
      <c r="AD83" s="307"/>
      <c r="AE83" s="317">
        <f>AC83</f>
        <v>6.2E-2</v>
      </c>
      <c r="AG83" s="447"/>
      <c r="AH83" s="447"/>
    </row>
    <row r="84" spans="2:34" s="305" customFormat="1" ht="12" x14ac:dyDescent="0.2">
      <c r="B84" s="306"/>
      <c r="C84" s="314" t="s">
        <v>246</v>
      </c>
      <c r="E84" s="326">
        <v>1.1520269999999999</v>
      </c>
      <c r="F84" s="382"/>
      <c r="G84" s="382"/>
      <c r="H84" s="382"/>
      <c r="I84" s="346"/>
      <c r="K84" s="315">
        <v>0.1525</v>
      </c>
      <c r="L84" s="588"/>
      <c r="M84" s="588"/>
      <c r="N84" s="588"/>
      <c r="O84" s="588"/>
      <c r="P84" s="588"/>
      <c r="Q84" s="588"/>
      <c r="R84" s="588"/>
      <c r="S84" s="588"/>
      <c r="T84" s="588"/>
      <c r="U84" s="588"/>
      <c r="V84" s="588"/>
      <c r="W84" s="588"/>
      <c r="X84" s="377"/>
      <c r="Y84" s="317">
        <f t="shared" ref="Y84:Y88" si="129">K84</f>
        <v>0.1525</v>
      </c>
      <c r="Z84" s="307"/>
      <c r="AA84" s="317">
        <f>Y84</f>
        <v>0.1525</v>
      </c>
      <c r="AB84" s="307"/>
      <c r="AC84" s="317">
        <f>AA84</f>
        <v>0.1525</v>
      </c>
      <c r="AD84" s="307"/>
      <c r="AE84" s="317">
        <f>AC84</f>
        <v>0.1525</v>
      </c>
      <c r="AG84" s="447"/>
      <c r="AH84" s="447"/>
    </row>
    <row r="85" spans="2:34" s="305" customFormat="1" ht="12" x14ac:dyDescent="0.2">
      <c r="B85" s="306"/>
      <c r="C85" s="314" t="s">
        <v>247</v>
      </c>
      <c r="E85" s="327">
        <v>6.2500000000000003E-3</v>
      </c>
      <c r="F85" s="382"/>
      <c r="G85" s="382"/>
      <c r="H85" s="382"/>
      <c r="I85" s="346"/>
      <c r="K85" s="315">
        <v>0.29249999999999998</v>
      </c>
      <c r="L85" s="588"/>
      <c r="M85" s="588"/>
      <c r="N85" s="588"/>
      <c r="O85" s="588"/>
      <c r="P85" s="588"/>
      <c r="Q85" s="588"/>
      <c r="R85" s="588"/>
      <c r="S85" s="588"/>
      <c r="T85" s="588"/>
      <c r="U85" s="588"/>
      <c r="V85" s="588"/>
      <c r="W85" s="588"/>
      <c r="X85" s="377"/>
      <c r="Y85" s="317">
        <f t="shared" si="129"/>
        <v>0.29249999999999998</v>
      </c>
      <c r="Z85" s="307"/>
      <c r="AA85" s="317">
        <f>Y85</f>
        <v>0.29249999999999998</v>
      </c>
      <c r="AB85" s="307"/>
      <c r="AC85" s="317">
        <f>AA85</f>
        <v>0.29249999999999998</v>
      </c>
      <c r="AD85" s="307"/>
      <c r="AE85" s="317">
        <f>AC85</f>
        <v>0.29249999999999998</v>
      </c>
      <c r="AG85" s="470"/>
      <c r="AH85" s="470"/>
    </row>
    <row r="86" spans="2:34" s="305" customFormat="1" ht="12" x14ac:dyDescent="0.2">
      <c r="B86" s="306"/>
      <c r="C86" s="314" t="s">
        <v>82</v>
      </c>
      <c r="E86" s="324"/>
      <c r="F86" s="382"/>
      <c r="G86" s="382"/>
      <c r="H86" s="382"/>
      <c r="I86" s="346"/>
      <c r="K86" s="315">
        <v>1.4500000000000001E-2</v>
      </c>
      <c r="L86" s="588"/>
      <c r="M86" s="588"/>
      <c r="N86" s="588"/>
      <c r="O86" s="588"/>
      <c r="P86" s="588"/>
      <c r="Q86" s="588"/>
      <c r="R86" s="588"/>
      <c r="S86" s="588"/>
      <c r="T86" s="588"/>
      <c r="U86" s="588"/>
      <c r="V86" s="588"/>
      <c r="W86" s="588"/>
      <c r="X86" s="377"/>
      <c r="Y86" s="317">
        <f t="shared" si="129"/>
        <v>1.4500000000000001E-2</v>
      </c>
      <c r="Z86" s="307"/>
      <c r="AA86" s="317">
        <f t="shared" ref="AA86:AE88" si="130">Y86</f>
        <v>1.4500000000000001E-2</v>
      </c>
      <c r="AB86" s="307"/>
      <c r="AC86" s="317">
        <f t="shared" si="130"/>
        <v>1.4500000000000001E-2</v>
      </c>
      <c r="AD86" s="307"/>
      <c r="AE86" s="317">
        <f t="shared" si="130"/>
        <v>1.4500000000000001E-2</v>
      </c>
      <c r="AG86" s="447"/>
      <c r="AH86" s="447"/>
    </row>
    <row r="87" spans="2:34" s="305" customFormat="1" ht="12" x14ac:dyDescent="0.2">
      <c r="B87" s="306"/>
      <c r="C87" s="314" t="s">
        <v>397</v>
      </c>
      <c r="E87" s="324"/>
      <c r="F87" s="382"/>
      <c r="G87" s="382"/>
      <c r="H87" s="382"/>
      <c r="I87" s="346"/>
      <c r="K87" s="315">
        <v>1.4999999999999999E-2</v>
      </c>
      <c r="L87" s="588"/>
      <c r="M87" s="588"/>
      <c r="N87" s="588"/>
      <c r="O87" s="588"/>
      <c r="P87" s="588"/>
      <c r="Q87" s="588"/>
      <c r="R87" s="588"/>
      <c r="S87" s="588"/>
      <c r="T87" s="588"/>
      <c r="U87" s="588"/>
      <c r="V87" s="588"/>
      <c r="W87" s="588"/>
      <c r="X87" s="377"/>
      <c r="Y87" s="317">
        <f t="shared" si="129"/>
        <v>1.4999999999999999E-2</v>
      </c>
      <c r="Z87" s="307"/>
      <c r="AA87" s="317">
        <f t="shared" si="130"/>
        <v>1.4999999999999999E-2</v>
      </c>
      <c r="AB87" s="307"/>
      <c r="AC87" s="317">
        <f t="shared" si="130"/>
        <v>1.4999999999999999E-2</v>
      </c>
      <c r="AD87" s="307"/>
      <c r="AE87" s="317">
        <f t="shared" si="130"/>
        <v>1.4999999999999999E-2</v>
      </c>
      <c r="AG87" s="447"/>
      <c r="AH87" s="447"/>
    </row>
    <row r="88" spans="2:34" s="305" customFormat="1" ht="12" x14ac:dyDescent="0.2">
      <c r="B88" s="306"/>
      <c r="C88" s="314" t="s">
        <v>83</v>
      </c>
      <c r="E88" s="324"/>
      <c r="F88" s="382"/>
      <c r="G88" s="382"/>
      <c r="H88" s="382"/>
      <c r="I88" s="346"/>
      <c r="K88" s="315">
        <v>6.4999999999999997E-3</v>
      </c>
      <c r="L88" s="588"/>
      <c r="M88" s="588"/>
      <c r="N88" s="588"/>
      <c r="O88" s="588"/>
      <c r="P88" s="588"/>
      <c r="Q88" s="588"/>
      <c r="R88" s="588"/>
      <c r="S88" s="588"/>
      <c r="T88" s="588"/>
      <c r="U88" s="588"/>
      <c r="V88" s="588"/>
      <c r="W88" s="588"/>
      <c r="X88" s="377"/>
      <c r="Y88" s="317">
        <f t="shared" si="129"/>
        <v>6.4999999999999997E-3</v>
      </c>
      <c r="Z88" s="307"/>
      <c r="AA88" s="317">
        <f t="shared" si="130"/>
        <v>6.4999999999999997E-3</v>
      </c>
      <c r="AB88" s="307"/>
      <c r="AC88" s="317">
        <f t="shared" si="130"/>
        <v>6.4999999999999997E-3</v>
      </c>
      <c r="AD88" s="307"/>
      <c r="AE88" s="317">
        <f t="shared" si="130"/>
        <v>6.4999999999999997E-3</v>
      </c>
      <c r="AG88" s="447"/>
      <c r="AH88" s="447"/>
    </row>
    <row r="89" spans="2:34" s="319" customFormat="1" ht="12" x14ac:dyDescent="0.2">
      <c r="B89" s="320"/>
      <c r="C89" s="321" t="s">
        <v>87</v>
      </c>
      <c r="D89" s="321"/>
      <c r="E89" s="325"/>
      <c r="F89" s="383" t="s">
        <v>573</v>
      </c>
      <c r="G89" s="383"/>
      <c r="H89" s="383"/>
      <c r="I89" s="347"/>
      <c r="K89" s="344" t="s">
        <v>84</v>
      </c>
      <c r="L89" s="593"/>
      <c r="M89" s="593"/>
      <c r="N89" s="593"/>
      <c r="O89" s="593"/>
      <c r="P89" s="593"/>
      <c r="Q89" s="593"/>
      <c r="R89" s="593"/>
      <c r="S89" s="593"/>
      <c r="T89" s="593"/>
      <c r="U89" s="593"/>
      <c r="V89" s="593"/>
      <c r="W89" s="593"/>
      <c r="X89" s="378"/>
      <c r="Y89" s="323">
        <v>0.1</v>
      </c>
      <c r="Z89" s="322"/>
      <c r="AA89" s="323">
        <v>0.1</v>
      </c>
      <c r="AB89" s="322"/>
      <c r="AC89" s="323">
        <v>0.1</v>
      </c>
      <c r="AD89" s="322"/>
      <c r="AE89" s="323">
        <v>0.1</v>
      </c>
      <c r="AG89" s="447"/>
      <c r="AH89" s="447"/>
    </row>
    <row r="90" spans="2:34" s="319" customFormat="1" ht="12" x14ac:dyDescent="0.2">
      <c r="B90" s="320"/>
      <c r="C90" s="305" t="s">
        <v>92</v>
      </c>
      <c r="D90" s="305"/>
      <c r="E90" s="324"/>
      <c r="F90" s="384">
        <v>350</v>
      </c>
      <c r="G90" s="672"/>
      <c r="H90" s="672"/>
      <c r="I90" s="346"/>
      <c r="K90" s="341">
        <f>F90*12</f>
        <v>4200</v>
      </c>
      <c r="L90" s="521"/>
      <c r="M90" s="521"/>
      <c r="N90" s="521"/>
      <c r="O90" s="521"/>
      <c r="P90" s="521"/>
      <c r="Q90" s="521"/>
      <c r="R90" s="521"/>
      <c r="S90" s="521"/>
      <c r="T90" s="521"/>
      <c r="U90" s="521"/>
      <c r="V90" s="521"/>
      <c r="W90" s="521"/>
      <c r="X90" s="380"/>
      <c r="Y90" s="308">
        <f>K90*(1+Y$89)</f>
        <v>4620</v>
      </c>
      <c r="Z90" s="309"/>
      <c r="AA90" s="308">
        <f>Y90*(1+AA$89)</f>
        <v>5082</v>
      </c>
      <c r="AB90" s="310"/>
      <c r="AC90" s="308">
        <f>AA90*(1+AC$89)</f>
        <v>5590.2000000000007</v>
      </c>
      <c r="AD90" s="310"/>
      <c r="AE90" s="308">
        <f>AC90*(1+AE$89)</f>
        <v>6149.2200000000012</v>
      </c>
      <c r="AG90" s="447"/>
      <c r="AH90" s="447"/>
    </row>
    <row r="91" spans="2:34" s="319" customFormat="1" ht="12" x14ac:dyDescent="0.2">
      <c r="B91" s="320"/>
      <c r="C91" s="305" t="s">
        <v>93</v>
      </c>
      <c r="D91" s="305"/>
      <c r="E91" s="324"/>
      <c r="F91" s="384">
        <v>35</v>
      </c>
      <c r="G91" s="672"/>
      <c r="H91" s="672"/>
      <c r="I91" s="346"/>
      <c r="K91" s="341">
        <f>F91*12</f>
        <v>420</v>
      </c>
      <c r="L91" s="521"/>
      <c r="M91" s="521"/>
      <c r="N91" s="521"/>
      <c r="O91" s="521"/>
      <c r="P91" s="521"/>
      <c r="Q91" s="521"/>
      <c r="R91" s="521"/>
      <c r="S91" s="521"/>
      <c r="T91" s="521"/>
      <c r="U91" s="521"/>
      <c r="V91" s="521"/>
      <c r="W91" s="521"/>
      <c r="X91" s="380"/>
      <c r="Y91" s="308">
        <f>K91*(1+Y$89)</f>
        <v>462.00000000000006</v>
      </c>
      <c r="Z91" s="309"/>
      <c r="AA91" s="308">
        <f t="shared" ref="AA91:AE92" si="131">Y91*(1+AA$89)</f>
        <v>508.2000000000001</v>
      </c>
      <c r="AB91" s="310"/>
      <c r="AC91" s="308">
        <f t="shared" si="131"/>
        <v>559.02000000000021</v>
      </c>
      <c r="AD91" s="310"/>
      <c r="AE91" s="308">
        <f t="shared" si="131"/>
        <v>614.92200000000025</v>
      </c>
      <c r="AG91" s="447"/>
      <c r="AH91" s="447"/>
    </row>
    <row r="92" spans="2:34" s="319" customFormat="1" ht="12" x14ac:dyDescent="0.2">
      <c r="B92" s="320"/>
      <c r="C92" s="305" t="s">
        <v>94</v>
      </c>
      <c r="D92" s="305"/>
      <c r="E92" s="324"/>
      <c r="F92" s="384">
        <v>20</v>
      </c>
      <c r="G92" s="672"/>
      <c r="H92" s="672"/>
      <c r="I92" s="346"/>
      <c r="K92" s="341">
        <f>F92*12</f>
        <v>240</v>
      </c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380"/>
      <c r="Y92" s="308">
        <f>K92*(1+Y$89)</f>
        <v>264</v>
      </c>
      <c r="Z92" s="309"/>
      <c r="AA92" s="308">
        <f t="shared" si="131"/>
        <v>290.40000000000003</v>
      </c>
      <c r="AB92" s="310"/>
      <c r="AC92" s="308">
        <f t="shared" si="131"/>
        <v>319.44000000000005</v>
      </c>
      <c r="AD92" s="310"/>
      <c r="AE92" s="308">
        <f t="shared" si="131"/>
        <v>351.38400000000007</v>
      </c>
      <c r="AG92" s="447"/>
      <c r="AH92" s="447"/>
    </row>
    <row r="93" spans="2:34" s="305" customFormat="1" ht="12" x14ac:dyDescent="0.2">
      <c r="B93" s="306"/>
      <c r="C93" s="311" t="s">
        <v>95</v>
      </c>
      <c r="E93" s="324"/>
      <c r="F93" s="343">
        <f>SUM(F90:F92)</f>
        <v>405</v>
      </c>
      <c r="G93" s="343"/>
      <c r="H93" s="343"/>
      <c r="I93" s="346"/>
      <c r="K93" s="343">
        <f>SUM(K90:K92)</f>
        <v>4860</v>
      </c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377"/>
      <c r="Y93" s="313">
        <f>SUM(Y90:Y92)</f>
        <v>5346</v>
      </c>
      <c r="Z93" s="307"/>
      <c r="AA93" s="313">
        <f>SUM(AA90:AA92)</f>
        <v>5880.5999999999995</v>
      </c>
      <c r="AB93" s="307"/>
      <c r="AC93" s="313">
        <f>SUM(AC90:AC92)</f>
        <v>6468.6600000000017</v>
      </c>
      <c r="AD93" s="307"/>
      <c r="AE93" s="313">
        <f>SUM(AE90:AE92)</f>
        <v>7115.5260000000017</v>
      </c>
      <c r="AF93" s="309"/>
      <c r="AG93" s="447"/>
      <c r="AH93" s="447"/>
    </row>
    <row r="94" spans="2:34" s="305" customFormat="1" ht="12" x14ac:dyDescent="0.2">
      <c r="B94" s="307"/>
      <c r="E94" s="324"/>
      <c r="F94" s="382"/>
      <c r="G94" s="382"/>
      <c r="H94" s="382"/>
      <c r="I94" s="346"/>
      <c r="K94" s="345"/>
      <c r="L94" s="582"/>
      <c r="M94" s="582"/>
      <c r="N94" s="582"/>
      <c r="O94" s="582"/>
      <c r="P94" s="582"/>
      <c r="Q94" s="582"/>
      <c r="R94" s="582"/>
      <c r="S94" s="582"/>
      <c r="T94" s="582"/>
      <c r="U94" s="582"/>
      <c r="V94" s="582"/>
      <c r="W94" s="582"/>
      <c r="X94" s="377"/>
      <c r="Z94" s="307"/>
      <c r="AB94" s="307"/>
      <c r="AD94" s="307"/>
      <c r="AG94" s="447"/>
      <c r="AH94" s="447"/>
    </row>
    <row r="95" spans="2:34" x14ac:dyDescent="0.25">
      <c r="K95" s="500"/>
      <c r="AG95" s="470"/>
      <c r="AH95" s="470"/>
    </row>
    <row r="96" spans="2:34" outlineLevel="1" x14ac:dyDescent="0.25">
      <c r="B96" s="502">
        <v>6211</v>
      </c>
      <c r="C96" s="503" t="s">
        <v>198</v>
      </c>
      <c r="D96" s="504"/>
      <c r="E96" s="505"/>
      <c r="F96" s="506"/>
      <c r="G96" s="506"/>
      <c r="H96" s="506"/>
      <c r="I96" s="507"/>
      <c r="J96" s="504"/>
      <c r="K96" s="508">
        <f>K81*I14</f>
        <v>888</v>
      </c>
      <c r="L96" s="508">
        <f t="shared" ref="L96:W96" si="132">SUM(L10:L12)*$F$81</f>
        <v>74</v>
      </c>
      <c r="M96" s="508">
        <f t="shared" si="132"/>
        <v>74</v>
      </c>
      <c r="N96" s="508">
        <f t="shared" si="132"/>
        <v>74</v>
      </c>
      <c r="O96" s="508">
        <f t="shared" si="132"/>
        <v>74</v>
      </c>
      <c r="P96" s="508">
        <f t="shared" si="132"/>
        <v>74</v>
      </c>
      <c r="Q96" s="508">
        <f t="shared" si="132"/>
        <v>74</v>
      </c>
      <c r="R96" s="508">
        <f t="shared" si="132"/>
        <v>74</v>
      </c>
      <c r="S96" s="508">
        <f t="shared" si="132"/>
        <v>74</v>
      </c>
      <c r="T96" s="508">
        <f t="shared" si="132"/>
        <v>74</v>
      </c>
      <c r="U96" s="508">
        <f t="shared" si="132"/>
        <v>74</v>
      </c>
      <c r="V96" s="508">
        <f t="shared" si="132"/>
        <v>74</v>
      </c>
      <c r="W96" s="508">
        <f t="shared" si="132"/>
        <v>74</v>
      </c>
      <c r="X96" s="510"/>
      <c r="Y96" s="509">
        <f>Y81*X14</f>
        <v>905.76</v>
      </c>
      <c r="Z96" s="511"/>
      <c r="AA96" s="509">
        <f>AA81*Z14</f>
        <v>923.87519999999995</v>
      </c>
      <c r="AB96" s="512"/>
      <c r="AC96" s="509">
        <f>AC81*AB14</f>
        <v>942.35270400000002</v>
      </c>
      <c r="AD96" s="512"/>
      <c r="AE96" s="509">
        <f>AE81*AD14</f>
        <v>961.19975808000004</v>
      </c>
      <c r="AG96" s="481">
        <f>VLOOKUP(B96,'FY21'!C:AC,22)</f>
        <v>444</v>
      </c>
      <c r="AH96" s="481">
        <f>K96-AG96</f>
        <v>444</v>
      </c>
    </row>
    <row r="97" spans="2:41" outlineLevel="1" x14ac:dyDescent="0.25">
      <c r="B97" s="502">
        <v>6214</v>
      </c>
      <c r="C97" s="503" t="s">
        <v>203</v>
      </c>
      <c r="D97" s="504"/>
      <c r="E97" s="505"/>
      <c r="F97" s="506"/>
      <c r="G97" s="506"/>
      <c r="H97" s="506"/>
      <c r="I97" s="507"/>
      <c r="J97" s="504"/>
      <c r="K97" s="508">
        <f>K81*I20</f>
        <v>444</v>
      </c>
      <c r="L97" s="513">
        <f t="shared" ref="L97:W97" si="133">SUM(L17:L18)*$F$81</f>
        <v>37</v>
      </c>
      <c r="M97" s="513">
        <f t="shared" si="133"/>
        <v>37</v>
      </c>
      <c r="N97" s="513">
        <f t="shared" si="133"/>
        <v>37</v>
      </c>
      <c r="O97" s="513">
        <f t="shared" si="133"/>
        <v>37</v>
      </c>
      <c r="P97" s="513">
        <f t="shared" si="133"/>
        <v>37</v>
      </c>
      <c r="Q97" s="513">
        <f t="shared" si="133"/>
        <v>37</v>
      </c>
      <c r="R97" s="513">
        <f t="shared" si="133"/>
        <v>37</v>
      </c>
      <c r="S97" s="513">
        <f t="shared" si="133"/>
        <v>37</v>
      </c>
      <c r="T97" s="513">
        <f t="shared" si="133"/>
        <v>37</v>
      </c>
      <c r="U97" s="513">
        <f t="shared" si="133"/>
        <v>37</v>
      </c>
      <c r="V97" s="513">
        <f t="shared" si="133"/>
        <v>37</v>
      </c>
      <c r="W97" s="513">
        <f t="shared" si="133"/>
        <v>37</v>
      </c>
      <c r="X97" s="510"/>
      <c r="Y97" s="513">
        <f>Y81*X20</f>
        <v>452.88</v>
      </c>
      <c r="Z97" s="514"/>
      <c r="AA97" s="513">
        <f>AA81*Z20</f>
        <v>461.93759999999997</v>
      </c>
      <c r="AB97" s="515"/>
      <c r="AC97" s="513">
        <f>AC81*AB20</f>
        <v>471.17635200000001</v>
      </c>
      <c r="AD97" s="515"/>
      <c r="AE97" s="513">
        <f>AE81*AD20</f>
        <v>480.59987904000002</v>
      </c>
      <c r="AG97" s="481">
        <f>VLOOKUP(B97,'FY21'!C:AC,22)</f>
        <v>0</v>
      </c>
      <c r="AH97" s="481">
        <f t="shared" ref="AH97:AH120" si="134">K97-AG97</f>
        <v>444</v>
      </c>
    </row>
    <row r="98" spans="2:41" outlineLevel="1" x14ac:dyDescent="0.25">
      <c r="B98" s="502">
        <v>6217</v>
      </c>
      <c r="C98" s="503" t="s">
        <v>200</v>
      </c>
      <c r="D98" s="504"/>
      <c r="E98" s="505"/>
      <c r="F98" s="506"/>
      <c r="G98" s="506"/>
      <c r="H98" s="506"/>
      <c r="I98" s="507"/>
      <c r="J98" s="504"/>
      <c r="K98" s="508">
        <f>K81*I26</f>
        <v>444</v>
      </c>
      <c r="L98" s="513">
        <f t="shared" ref="L98:W98" si="135">SUM(L23:L24)*$F$81</f>
        <v>37</v>
      </c>
      <c r="M98" s="513">
        <f t="shared" si="135"/>
        <v>37</v>
      </c>
      <c r="N98" s="513">
        <f t="shared" si="135"/>
        <v>37</v>
      </c>
      <c r="O98" s="513">
        <f t="shared" si="135"/>
        <v>37</v>
      </c>
      <c r="P98" s="513">
        <f t="shared" si="135"/>
        <v>37</v>
      </c>
      <c r="Q98" s="513">
        <f t="shared" si="135"/>
        <v>37</v>
      </c>
      <c r="R98" s="513">
        <f t="shared" si="135"/>
        <v>37</v>
      </c>
      <c r="S98" s="513">
        <f t="shared" si="135"/>
        <v>37</v>
      </c>
      <c r="T98" s="513">
        <f t="shared" si="135"/>
        <v>37</v>
      </c>
      <c r="U98" s="513">
        <f t="shared" si="135"/>
        <v>37</v>
      </c>
      <c r="V98" s="513">
        <f t="shared" si="135"/>
        <v>37</v>
      </c>
      <c r="W98" s="513">
        <f t="shared" si="135"/>
        <v>37</v>
      </c>
      <c r="X98" s="510"/>
      <c r="Y98" s="513">
        <f>Y81*X26</f>
        <v>452.88</v>
      </c>
      <c r="Z98" s="514"/>
      <c r="AA98" s="513">
        <f>AA81*Z26</f>
        <v>461.93759999999997</v>
      </c>
      <c r="AB98" s="515"/>
      <c r="AC98" s="513">
        <f>AC81*AB26</f>
        <v>471.17635200000001</v>
      </c>
      <c r="AD98" s="515"/>
      <c r="AE98" s="513">
        <f>AE81*AD26</f>
        <v>480.59987904000002</v>
      </c>
      <c r="AG98" s="481">
        <f>VLOOKUP(B98,'FY21'!C:AC,22)</f>
        <v>444</v>
      </c>
      <c r="AH98" s="481">
        <f t="shared" si="134"/>
        <v>0</v>
      </c>
    </row>
    <row r="99" spans="2:41" x14ac:dyDescent="0.25">
      <c r="B99" s="516"/>
      <c r="C99" s="517" t="s">
        <v>237</v>
      </c>
      <c r="D99" s="504"/>
      <c r="E99" s="505"/>
      <c r="F99" s="506"/>
      <c r="G99" s="506"/>
      <c r="H99" s="506"/>
      <c r="I99" s="507"/>
      <c r="J99" s="504"/>
      <c r="K99" s="518">
        <f>SUBTOTAL(9,K96:K98)</f>
        <v>1776</v>
      </c>
      <c r="L99" s="647">
        <f>SUBTOTAL(9,L96:L98)</f>
        <v>148</v>
      </c>
      <c r="M99" s="647">
        <f t="shared" ref="M99:W99" si="136">SUBTOTAL(9,M96:M98)</f>
        <v>148</v>
      </c>
      <c r="N99" s="647">
        <f t="shared" si="136"/>
        <v>148</v>
      </c>
      <c r="O99" s="647">
        <f t="shared" si="136"/>
        <v>148</v>
      </c>
      <c r="P99" s="647">
        <f t="shared" si="136"/>
        <v>148</v>
      </c>
      <c r="Q99" s="647">
        <f t="shared" si="136"/>
        <v>148</v>
      </c>
      <c r="R99" s="647">
        <f t="shared" si="136"/>
        <v>148</v>
      </c>
      <c r="S99" s="647">
        <f t="shared" si="136"/>
        <v>148</v>
      </c>
      <c r="T99" s="647">
        <f t="shared" si="136"/>
        <v>148</v>
      </c>
      <c r="U99" s="647">
        <f t="shared" si="136"/>
        <v>148</v>
      </c>
      <c r="V99" s="647">
        <f t="shared" si="136"/>
        <v>148</v>
      </c>
      <c r="W99" s="647">
        <f t="shared" si="136"/>
        <v>148</v>
      </c>
      <c r="X99" s="510"/>
      <c r="Y99" s="519">
        <f>SUBTOTAL(9,Y96:Y98)</f>
        <v>1811.52</v>
      </c>
      <c r="Z99" s="514"/>
      <c r="AA99" s="519">
        <f>SUBTOTAL(9,AA96:AA98)</f>
        <v>1847.7503999999999</v>
      </c>
      <c r="AB99" s="515"/>
      <c r="AC99" s="519">
        <f>SUBTOTAL(9,AC96:AC98)</f>
        <v>1884.705408</v>
      </c>
      <c r="AD99" s="515"/>
      <c r="AE99" s="519">
        <f>SUBTOTAL(9,AE96:AE98)</f>
        <v>1922.3995161600001</v>
      </c>
      <c r="AG99" s="481"/>
      <c r="AH99" s="481"/>
      <c r="AI99" s="520"/>
      <c r="AJ99" s="520"/>
      <c r="AK99" s="520"/>
      <c r="AL99" s="520"/>
      <c r="AM99" s="520"/>
      <c r="AN99" s="520"/>
      <c r="AO99" s="520"/>
    </row>
    <row r="100" spans="2:41" outlineLevel="1" x14ac:dyDescent="0.25">
      <c r="B100" s="377">
        <v>6227</v>
      </c>
      <c r="C100" s="305" t="s">
        <v>221</v>
      </c>
      <c r="K100" s="521">
        <f>K83*(K35)</f>
        <v>2450.2399999999998</v>
      </c>
      <c r="L100" s="648">
        <f t="shared" ref="L100:W100" si="137">$K$83*(L35)</f>
        <v>204.18666666666667</v>
      </c>
      <c r="M100" s="648">
        <f t="shared" si="137"/>
        <v>204.18666666666667</v>
      </c>
      <c r="N100" s="648">
        <f t="shared" si="137"/>
        <v>204.18666666666667</v>
      </c>
      <c r="O100" s="648">
        <f t="shared" si="137"/>
        <v>204.18666666666667</v>
      </c>
      <c r="P100" s="648">
        <f t="shared" si="137"/>
        <v>204.18666666666667</v>
      </c>
      <c r="Q100" s="648">
        <f t="shared" si="137"/>
        <v>204.18666666666667</v>
      </c>
      <c r="R100" s="648">
        <f t="shared" si="137"/>
        <v>204.18666666666667</v>
      </c>
      <c r="S100" s="648">
        <f t="shared" si="137"/>
        <v>204.18666666666667</v>
      </c>
      <c r="T100" s="648">
        <f t="shared" si="137"/>
        <v>204.18666666666667</v>
      </c>
      <c r="U100" s="648">
        <f t="shared" si="137"/>
        <v>204.18666666666667</v>
      </c>
      <c r="V100" s="648">
        <f t="shared" si="137"/>
        <v>204.18666666666667</v>
      </c>
      <c r="W100" s="648">
        <f t="shared" si="137"/>
        <v>204.18666666666667</v>
      </c>
      <c r="X100" s="380"/>
      <c r="Y100" s="522">
        <f>Y83*(Y35)</f>
        <v>2499.2447999999999</v>
      </c>
      <c r="Z100" s="410"/>
      <c r="AA100" s="522">
        <f>AA83*(AA35)</f>
        <v>2549.2296959999999</v>
      </c>
      <c r="AB100" s="523"/>
      <c r="AC100" s="522">
        <f>AC83*(AC35)</f>
        <v>2600.2142899200003</v>
      </c>
      <c r="AD100" s="523"/>
      <c r="AE100" s="522">
        <f>AE83*(AE35)</f>
        <v>2652.2185757184002</v>
      </c>
      <c r="AG100" s="481">
        <f>VLOOKUP(B100,'FY21'!C:AC,22)</f>
        <v>2450.2400000000002</v>
      </c>
      <c r="AH100" s="481">
        <f t="shared" si="134"/>
        <v>0</v>
      </c>
    </row>
    <row r="101" spans="2:41" x14ac:dyDescent="0.25">
      <c r="B101" s="307"/>
      <c r="C101" s="314" t="s">
        <v>86</v>
      </c>
      <c r="K101" s="524">
        <f>SUBTOTAL(9,K100:K100)</f>
        <v>2450.2399999999998</v>
      </c>
      <c r="L101" s="649">
        <f t="shared" ref="L101:W101" si="138">SUBTOTAL(9,L100:L100)</f>
        <v>204.18666666666667</v>
      </c>
      <c r="M101" s="649">
        <f t="shared" si="138"/>
        <v>204.18666666666667</v>
      </c>
      <c r="N101" s="649">
        <f t="shared" si="138"/>
        <v>204.18666666666667</v>
      </c>
      <c r="O101" s="649">
        <f t="shared" si="138"/>
        <v>204.18666666666667</v>
      </c>
      <c r="P101" s="649">
        <f t="shared" si="138"/>
        <v>204.18666666666667</v>
      </c>
      <c r="Q101" s="649">
        <f t="shared" si="138"/>
        <v>204.18666666666667</v>
      </c>
      <c r="R101" s="649">
        <f t="shared" si="138"/>
        <v>204.18666666666667</v>
      </c>
      <c r="S101" s="649">
        <f t="shared" si="138"/>
        <v>204.18666666666667</v>
      </c>
      <c r="T101" s="649">
        <f t="shared" si="138"/>
        <v>204.18666666666667</v>
      </c>
      <c r="U101" s="649">
        <f t="shared" si="138"/>
        <v>204.18666666666667</v>
      </c>
      <c r="V101" s="649">
        <f t="shared" si="138"/>
        <v>204.18666666666667</v>
      </c>
      <c r="W101" s="649">
        <f t="shared" si="138"/>
        <v>204.18666666666667</v>
      </c>
      <c r="X101" s="380"/>
      <c r="Y101" s="525">
        <f>SUBTOTAL(9,Y100:Y100)</f>
        <v>2499.2447999999999</v>
      </c>
      <c r="Z101" s="410"/>
      <c r="AA101" s="525">
        <f>SUBTOTAL(9,AA100:AA100)</f>
        <v>2549.2296959999999</v>
      </c>
      <c r="AB101" s="523"/>
      <c r="AC101" s="525">
        <f>SUBTOTAL(9,AC100:AC100)</f>
        <v>2600.2142899200003</v>
      </c>
      <c r="AD101" s="523"/>
      <c r="AE101" s="525">
        <f>SUBTOTAL(9,AE100:AE100)</f>
        <v>2652.2185757184002</v>
      </c>
      <c r="AG101" s="481"/>
      <c r="AH101" s="481"/>
      <c r="AI101" s="520"/>
      <c r="AJ101" s="520"/>
      <c r="AK101" s="520"/>
      <c r="AL101" s="520"/>
      <c r="AM101" s="520"/>
      <c r="AN101" s="520"/>
      <c r="AO101" s="520"/>
    </row>
    <row r="102" spans="2:41" outlineLevel="1" x14ac:dyDescent="0.25">
      <c r="B102" s="502">
        <v>6231</v>
      </c>
      <c r="C102" s="503" t="s">
        <v>205</v>
      </c>
      <c r="D102" s="504"/>
      <c r="E102" s="505"/>
      <c r="F102" s="506"/>
      <c r="G102" s="506"/>
      <c r="H102" s="506"/>
      <c r="I102" s="507"/>
      <c r="J102" s="504"/>
      <c r="K102" s="526">
        <f>K85*(SUMIF($F$9:$F$13,"ER",K9:K13))+K84*(SUMIF($F$9:$F$13,"EE",K9:K13))</f>
        <v>16689.991162499999</v>
      </c>
      <c r="L102" s="513" cm="1">
        <f t="array" ref="L102">((SUMPRODUCT(($F10:$F13="EE")*L10:L13*$J10:$J13)/12)*$K$84)+((SUMPRODUCT(($F10:$F13="ER")*L10:L13*$J10:$J13)/12)*$K$85)</f>
        <v>1390.832596875</v>
      </c>
      <c r="M102" s="513">
        <f t="shared" ref="M102:W102" si="139">((SUMPRODUCT(($F10:$F13="EE")*M10:M13*$J10:$J13)/12)*$K$84)+((SUMPRODUCT(($F10:$F13="ER")*M10:M13*$J10:$J13)/12)*$K$85)</f>
        <v>1390.832596875</v>
      </c>
      <c r="N102" s="513">
        <f t="shared" si="139"/>
        <v>1390.832596875</v>
      </c>
      <c r="O102" s="513">
        <f t="shared" si="139"/>
        <v>1390.832596875</v>
      </c>
      <c r="P102" s="513">
        <f t="shared" si="139"/>
        <v>1390.832596875</v>
      </c>
      <c r="Q102" s="513">
        <f t="shared" si="139"/>
        <v>1390.832596875</v>
      </c>
      <c r="R102" s="513">
        <f t="shared" si="139"/>
        <v>1390.832596875</v>
      </c>
      <c r="S102" s="513">
        <f t="shared" si="139"/>
        <v>1390.832596875</v>
      </c>
      <c r="T102" s="513">
        <f t="shared" si="139"/>
        <v>1390.832596875</v>
      </c>
      <c r="U102" s="513">
        <f t="shared" si="139"/>
        <v>1390.832596875</v>
      </c>
      <c r="V102" s="513">
        <f t="shared" si="139"/>
        <v>1390.832596875</v>
      </c>
      <c r="W102" s="513">
        <f t="shared" si="139"/>
        <v>1390.832596875</v>
      </c>
      <c r="X102" s="510"/>
      <c r="Y102" s="509">
        <f>Y85*(SUMIF($F$9:$F$13,"ER",Y9:Y13))+Y84*(SUMIF($F$9:$F$13,"EE",Y9:Y13))</f>
        <v>17023.790985749998</v>
      </c>
      <c r="Z102" s="511"/>
      <c r="AA102" s="509">
        <f>AA85*(SUMIF($F$9:$F$13,"ER",AA9:AA13))+AA84*(SUMIF($F$9:$F$13,"EE",AA9:AA13))</f>
        <v>17364.266805464998</v>
      </c>
      <c r="AB102" s="512"/>
      <c r="AC102" s="509">
        <f>AC85*(SUMIF($F$9:$F$13,"ER",AC9:AC13))+AC84*(SUMIF($F$9:$F$13,"EE",AC9:AC13))</f>
        <v>17711.552141574299</v>
      </c>
      <c r="AD102" s="512"/>
      <c r="AE102" s="509">
        <f>AE85*(SUMIF($F$9:$F$13,"ER",AE9:AE13))+AE84*(SUMIF($F$9:$F$13,"EE",AE9:AE13))</f>
        <v>18065.783184405787</v>
      </c>
      <c r="AG102" s="481">
        <f>VLOOKUP(B102,'FY21'!C:AC,22)</f>
        <v>9443.0213156249993</v>
      </c>
      <c r="AH102" s="481">
        <f t="shared" si="134"/>
        <v>7246.9698468749993</v>
      </c>
    </row>
    <row r="103" spans="2:41" outlineLevel="1" x14ac:dyDescent="0.25">
      <c r="B103" s="502">
        <v>6234</v>
      </c>
      <c r="C103" s="503" t="s">
        <v>219</v>
      </c>
      <c r="D103" s="504"/>
      <c r="E103" s="505"/>
      <c r="F103" s="506"/>
      <c r="G103" s="506"/>
      <c r="H103" s="506"/>
      <c r="I103" s="507"/>
      <c r="J103" s="504"/>
      <c r="K103" s="526">
        <f>K85*(SUMIF($F$16:$F$19,"ER",K16:K19))+K84*(SUMIF($F$16:$F$19,"EE",K16:K19))</f>
        <v>28776.515625</v>
      </c>
      <c r="L103" s="508" cm="1">
        <f t="array" ref="L103">((SUMPRODUCT(($F17:$F19="EE")*L17:L19*$J17:$J19)/12)*$K$84)+((SUMPRODUCT(($F17:$F19="ER")*L17:L19*$J17:$J19)/12)*$K$85)</f>
        <v>2398.04296875</v>
      </c>
      <c r="M103" s="508">
        <f t="shared" ref="M103:W103" si="140">((SUMPRODUCT(($F17:$F19="EE")*M17:M19*$J17:$J19)/12)*$K$84)+((SUMPRODUCT(($F17:$F19="ER")*M17:M19*$J17:$J19)/12)*$K$85)</f>
        <v>2398.04296875</v>
      </c>
      <c r="N103" s="508">
        <f t="shared" si="140"/>
        <v>2398.04296875</v>
      </c>
      <c r="O103" s="508">
        <f t="shared" si="140"/>
        <v>2398.04296875</v>
      </c>
      <c r="P103" s="508">
        <f t="shared" si="140"/>
        <v>2398.04296875</v>
      </c>
      <c r="Q103" s="508">
        <f t="shared" si="140"/>
        <v>2398.04296875</v>
      </c>
      <c r="R103" s="508">
        <f t="shared" si="140"/>
        <v>2398.04296875</v>
      </c>
      <c r="S103" s="508">
        <f t="shared" si="140"/>
        <v>2398.04296875</v>
      </c>
      <c r="T103" s="508">
        <f t="shared" si="140"/>
        <v>2398.04296875</v>
      </c>
      <c r="U103" s="508">
        <f t="shared" si="140"/>
        <v>2398.04296875</v>
      </c>
      <c r="V103" s="508">
        <f t="shared" si="140"/>
        <v>2398.04296875</v>
      </c>
      <c r="W103" s="508">
        <f t="shared" si="140"/>
        <v>2398.04296875</v>
      </c>
      <c r="X103" s="510"/>
      <c r="Y103" s="513">
        <f>Y85*(SUMIF($F$16:$F$19,"ER",Y16:Y19))+Y84*(SUMIF($F$16:$F$19,"EE",Y16:Y19))</f>
        <v>29352.045937499999</v>
      </c>
      <c r="Z103" s="514"/>
      <c r="AA103" s="513">
        <f>AA85*(SUMIF($F$16:$F$19,"ER",AA16:AA19))+AA84*(SUMIF($F$16:$F$19,"EE",AA16:AA19))</f>
        <v>29939.08685625</v>
      </c>
      <c r="AB103" s="515"/>
      <c r="AC103" s="513">
        <f>AC85*(SUMIF($F$16:$F$19,"ER",AC16:AC19))+AC84*(SUMIF($F$16:$F$19,"EE",AC16:AC19))</f>
        <v>30537.868593375002</v>
      </c>
      <c r="AD103" s="515"/>
      <c r="AE103" s="513">
        <f>AE85*(SUMIF($F$16:$F$19,"ER",AE16:AE19))+AE84*(SUMIF($F$16:$F$19,"EE",AE16:AE19))</f>
        <v>31148.6259652425</v>
      </c>
      <c r="AG103" s="481">
        <f>VLOOKUP(B103,'FY21'!C:AC,22)</f>
        <v>16478.627400000005</v>
      </c>
      <c r="AH103" s="481">
        <f t="shared" si="134"/>
        <v>12297.888224999995</v>
      </c>
    </row>
    <row r="104" spans="2:41" outlineLevel="1" x14ac:dyDescent="0.25">
      <c r="B104" s="502">
        <v>6237</v>
      </c>
      <c r="C104" s="503" t="s">
        <v>220</v>
      </c>
      <c r="D104" s="504"/>
      <c r="E104" s="505"/>
      <c r="F104" s="506"/>
      <c r="G104" s="506"/>
      <c r="H104" s="506"/>
      <c r="I104" s="507"/>
      <c r="J104" s="504"/>
      <c r="K104" s="526">
        <f>K85*(SUMIF($F$22:$F$25,"ER",K22:K25))+K84*(SUMIF($F$22:$F$25,"EE",K22:K25))</f>
        <v>7027.3646999999992</v>
      </c>
      <c r="L104" s="508" cm="1">
        <f t="array" ref="L104">((SUMPRODUCT(($F23:$F25="EE")*L23:L25*$J23:$J25)/12)*$K$84)+((SUMPRODUCT(($F23:$F25="ER")*L23:L25*$J23:$J25)/12)*$K$85)</f>
        <v>585.61372499999993</v>
      </c>
      <c r="M104" s="508" cm="1">
        <f t="array" ref="M104">((SUMPRODUCT(($F23:$F25="EE")*M23:M25*$J23:$J25)/12)*$K$84)+((SUMPRODUCT(($F23:$F25="ER")*M23:M25*$J23:$J25)/12)*$K$85)</f>
        <v>585.61372499999993</v>
      </c>
      <c r="N104" s="508" cm="1">
        <f t="array" ref="N104">((SUMPRODUCT(($F23:$F25="EE")*N23:N25*$J23:$J25)/12)*$K$84)+((SUMPRODUCT(($F23:$F25="ER")*N23:N25*$J23:$J25)/12)*$K$85)</f>
        <v>585.61372499999993</v>
      </c>
      <c r="O104" s="508" cm="1">
        <f t="array" ref="O104">((SUMPRODUCT(($F23:$F25="EE")*O23:O25*$J23:$J25)/12)*$K$84)+((SUMPRODUCT(($F23:$F25="ER")*O23:O25*$J23:$J25)/12)*$K$85)</f>
        <v>585.61372499999993</v>
      </c>
      <c r="P104" s="508" cm="1">
        <f t="array" ref="P104">((SUMPRODUCT(($F23:$F25="EE")*P23:P25*$J23:$J25)/12)*$K$84)+((SUMPRODUCT(($F23:$F25="ER")*P23:P25*$J23:$J25)/12)*$K$85)</f>
        <v>585.61372499999993</v>
      </c>
      <c r="Q104" s="508" cm="1">
        <f t="array" ref="Q104">((SUMPRODUCT(($F23:$F25="EE")*Q23:Q25*$J23:$J25)/12)*$K$84)+((SUMPRODUCT(($F23:$F25="ER")*Q23:Q25*$J23:$J25)/12)*$K$85)</f>
        <v>585.61372499999993</v>
      </c>
      <c r="R104" s="508" cm="1">
        <f t="array" ref="R104">((SUMPRODUCT(($F23:$F25="EE")*R23:R25*$J23:$J25)/12)*$K$84)+((SUMPRODUCT(($F23:$F25="ER")*R23:R25*$J23:$J25)/12)*$K$85)</f>
        <v>585.61372499999993</v>
      </c>
      <c r="S104" s="508" cm="1">
        <f t="array" ref="S104">((SUMPRODUCT(($F23:$F25="EE")*S23:S25*$J23:$J25)/12)*$K$84)+((SUMPRODUCT(($F23:$F25="ER")*S23:S25*$J23:$J25)/12)*$K$85)</f>
        <v>585.61372499999993</v>
      </c>
      <c r="T104" s="508" cm="1">
        <f t="array" ref="T104">((SUMPRODUCT(($F23:$F25="EE")*T23:T25*$J23:$J25)/12)*$K$84)+((SUMPRODUCT(($F23:$F25="ER")*T23:T25*$J23:$J25)/12)*$K$85)</f>
        <v>585.61372499999993</v>
      </c>
      <c r="U104" s="508" cm="1">
        <f t="array" ref="U104">((SUMPRODUCT(($F23:$F25="EE")*U23:U25*$J23:$J25)/12)*$K$84)+((SUMPRODUCT(($F23:$F25="ER")*U23:U25*$J23:$J25)/12)*$K$85)</f>
        <v>585.61372499999993</v>
      </c>
      <c r="V104" s="508" cm="1">
        <f t="array" ref="V104">((SUMPRODUCT(($F23:$F25="EE")*V23:V25*$J23:$J25)/12)*$K$84)+((SUMPRODUCT(($F23:$F25="ER")*V23:V25*$J23:$J25)/12)*$K$85)</f>
        <v>585.61372499999993</v>
      </c>
      <c r="W104" s="508" cm="1">
        <f t="array" ref="W104">((SUMPRODUCT(($F23:$F25="EE")*W23:W25*$J23:$J25)/12)*$K$84)+((SUMPRODUCT(($F23:$F25="ER")*W23:W25*$J23:$J25)/12)*$K$85)</f>
        <v>585.61372499999993</v>
      </c>
      <c r="X104" s="510"/>
      <c r="Y104" s="513">
        <f>Y85*(SUMIF($F$22:$F$25,"ER",Y22:Y25))+Y84*(SUMIF($F$22:$F$25,"EE",Y22:Y25))</f>
        <v>7167.9119939999991</v>
      </c>
      <c r="Z104" s="514"/>
      <c r="AA104" s="513">
        <f>AA85*(SUMIF($F$22:$F$25,"ER",AA22:AA25))+AA84*(SUMIF($F$22:$F$25,"EE",AA22:AA25))</f>
        <v>7311.2702338799991</v>
      </c>
      <c r="AB104" s="515"/>
      <c r="AC104" s="513">
        <f>AC85*(SUMIF($F$22:$F$25,"ER",AC22:AC25))+AC84*(SUMIF($F$22:$F$25,"EE",AC22:AC25))</f>
        <v>7457.4956385575988</v>
      </c>
      <c r="AD104" s="515"/>
      <c r="AE104" s="513">
        <f>AE85*(SUMIF($F$22:$F$25,"ER",AE22:AE25))+AE84*(SUMIF($F$22:$F$25,"EE",AE22:AE25))</f>
        <v>7606.645551328751</v>
      </c>
      <c r="AG104" s="481">
        <f>VLOOKUP(B104,'FY21'!C:AC,22)</f>
        <v>6395.9999027343765</v>
      </c>
      <c r="AH104" s="481">
        <f t="shared" si="134"/>
        <v>631.36479726562266</v>
      </c>
    </row>
    <row r="105" spans="2:41" x14ac:dyDescent="0.25">
      <c r="B105" s="516"/>
      <c r="C105" s="517" t="s">
        <v>238</v>
      </c>
      <c r="D105" s="504"/>
      <c r="E105" s="505"/>
      <c r="F105" s="506"/>
      <c r="G105" s="506"/>
      <c r="H105" s="506"/>
      <c r="I105" s="507"/>
      <c r="J105" s="504"/>
      <c r="K105" s="518">
        <f>SUBTOTAL(9,K102:K104)</f>
        <v>52493.871487499993</v>
      </c>
      <c r="L105" s="647">
        <f t="shared" ref="L105:W105" si="141">SUBTOTAL(9,L102:L104)</f>
        <v>4374.4892906249997</v>
      </c>
      <c r="M105" s="647">
        <f t="shared" si="141"/>
        <v>4374.4892906249997</v>
      </c>
      <c r="N105" s="647">
        <f t="shared" si="141"/>
        <v>4374.4892906249997</v>
      </c>
      <c r="O105" s="647">
        <f t="shared" si="141"/>
        <v>4374.4892906249997</v>
      </c>
      <c r="P105" s="647">
        <f t="shared" si="141"/>
        <v>4374.4892906249997</v>
      </c>
      <c r="Q105" s="647">
        <f t="shared" si="141"/>
        <v>4374.4892906249997</v>
      </c>
      <c r="R105" s="647">
        <f t="shared" si="141"/>
        <v>4374.4892906249997</v>
      </c>
      <c r="S105" s="647">
        <f t="shared" si="141"/>
        <v>4374.4892906249997</v>
      </c>
      <c r="T105" s="647">
        <f t="shared" si="141"/>
        <v>4374.4892906249997</v>
      </c>
      <c r="U105" s="647">
        <f t="shared" si="141"/>
        <v>4374.4892906249997</v>
      </c>
      <c r="V105" s="647">
        <f t="shared" si="141"/>
        <v>4374.4892906249997</v>
      </c>
      <c r="W105" s="647">
        <f t="shared" si="141"/>
        <v>4374.4892906249997</v>
      </c>
      <c r="X105" s="510"/>
      <c r="Y105" s="519">
        <f>SUBTOTAL(9,Y102:Y104)</f>
        <v>53543.748917249999</v>
      </c>
      <c r="Z105" s="514"/>
      <c r="AA105" s="519">
        <f>SUBTOTAL(9,AA102:AA104)</f>
        <v>54614.623895594996</v>
      </c>
      <c r="AB105" s="515"/>
      <c r="AC105" s="519">
        <f>SUBTOTAL(9,AC102:AC104)</f>
        <v>55706.916373506901</v>
      </c>
      <c r="AD105" s="515"/>
      <c r="AE105" s="519">
        <f>SUBTOTAL(9,AE102:AE104)</f>
        <v>56821.054700977038</v>
      </c>
      <c r="AG105" s="481"/>
      <c r="AH105" s="481"/>
      <c r="AI105" s="520"/>
      <c r="AJ105" s="520"/>
      <c r="AK105" s="520"/>
      <c r="AL105" s="520"/>
      <c r="AM105" s="520"/>
      <c r="AN105" s="520"/>
      <c r="AO105" s="520"/>
    </row>
    <row r="106" spans="2:41" outlineLevel="1" x14ac:dyDescent="0.25">
      <c r="B106" s="377">
        <v>6241</v>
      </c>
      <c r="C106" s="305" t="s">
        <v>196</v>
      </c>
      <c r="K106" s="521">
        <f>K86*(K14+K42+K61)</f>
        <v>1691.3171925000001</v>
      </c>
      <c r="L106" s="522">
        <f t="shared" ref="L106:W106" si="142">$K$86*(L14+L42+L61)</f>
        <v>132.24309937500001</v>
      </c>
      <c r="M106" s="522">
        <f t="shared" si="142"/>
        <v>132.24309937500001</v>
      </c>
      <c r="N106" s="522">
        <f t="shared" si="142"/>
        <v>153.99309937500001</v>
      </c>
      <c r="O106" s="522">
        <f t="shared" si="142"/>
        <v>158.34309937500001</v>
      </c>
      <c r="P106" s="522">
        <f t="shared" si="142"/>
        <v>136.59309937500001</v>
      </c>
      <c r="Q106" s="522">
        <f t="shared" si="142"/>
        <v>136.59309937500001</v>
      </c>
      <c r="R106" s="522">
        <f t="shared" si="142"/>
        <v>136.59309937500001</v>
      </c>
      <c r="S106" s="522">
        <f t="shared" si="142"/>
        <v>153.99309937500001</v>
      </c>
      <c r="T106" s="522">
        <f t="shared" si="142"/>
        <v>153.99309937500001</v>
      </c>
      <c r="U106" s="522">
        <f t="shared" si="142"/>
        <v>132.24309937500001</v>
      </c>
      <c r="V106" s="522">
        <f t="shared" si="142"/>
        <v>132.24309937500001</v>
      </c>
      <c r="W106" s="522">
        <f t="shared" si="142"/>
        <v>132.24309937500001</v>
      </c>
      <c r="X106" s="380"/>
      <c r="Y106" s="527">
        <f>Y86*(Y14+Y42+Y61)</f>
        <v>1725.14353635</v>
      </c>
      <c r="Z106" s="528"/>
      <c r="AA106" s="527">
        <f>AA86*(AA14+AA42+AA61)</f>
        <v>1759.646407077</v>
      </c>
      <c r="AB106" s="529"/>
      <c r="AC106" s="527">
        <f>AC86*(AC14+AC42+AC61)</f>
        <v>1794.8393352185403</v>
      </c>
      <c r="AD106" s="529"/>
      <c r="AE106" s="527">
        <f>AE86*(AE14+AE42+AE61)</f>
        <v>1830.736121922911</v>
      </c>
      <c r="AG106" s="481">
        <f>VLOOKUP(B106,'FY21'!C:AC,22)</f>
        <v>958.7610431249999</v>
      </c>
      <c r="AH106" s="481">
        <f t="shared" si="134"/>
        <v>732.55614937500025</v>
      </c>
    </row>
    <row r="107" spans="2:41" outlineLevel="1" x14ac:dyDescent="0.25">
      <c r="B107" s="377">
        <v>6244</v>
      </c>
      <c r="C107" s="305" t="s">
        <v>197</v>
      </c>
      <c r="K107" s="521">
        <f>K86*(K20+K48+K67)</f>
        <v>1541.005625</v>
      </c>
      <c r="L107" s="522">
        <f t="shared" ref="L107:W107" si="143">$K$86*(L20+L48+L67)</f>
        <v>118.87734375000001</v>
      </c>
      <c r="M107" s="522">
        <f t="shared" si="143"/>
        <v>118.87734375000001</v>
      </c>
      <c r="N107" s="522">
        <f t="shared" si="143"/>
        <v>132.34784375000001</v>
      </c>
      <c r="O107" s="522">
        <f t="shared" si="143"/>
        <v>122.50234375000001</v>
      </c>
      <c r="P107" s="522">
        <f t="shared" si="143"/>
        <v>135.97284375000001</v>
      </c>
      <c r="Q107" s="522">
        <f t="shared" si="143"/>
        <v>122.50234375000001</v>
      </c>
      <c r="R107" s="522">
        <f t="shared" si="143"/>
        <v>135.97284375000001</v>
      </c>
      <c r="S107" s="522">
        <f t="shared" si="143"/>
        <v>118.87734375000001</v>
      </c>
      <c r="T107" s="522">
        <f t="shared" si="143"/>
        <v>132.34784375000001</v>
      </c>
      <c r="U107" s="522">
        <f t="shared" si="143"/>
        <v>132.34784375000001</v>
      </c>
      <c r="V107" s="522">
        <f t="shared" si="143"/>
        <v>118.87734375000001</v>
      </c>
      <c r="W107" s="522">
        <f t="shared" si="143"/>
        <v>151.50234374999999</v>
      </c>
      <c r="X107" s="380"/>
      <c r="Y107" s="522">
        <f>Y86*(Y20+Y48+Y67)</f>
        <v>1571.8257375000001</v>
      </c>
      <c r="Z107" s="410"/>
      <c r="AA107" s="522">
        <f>AA86*(AA20+AA48+AA67)</f>
        <v>1603.2622522500001</v>
      </c>
      <c r="AB107" s="523"/>
      <c r="AC107" s="522">
        <f>AC86*(AC20+AC48+AC67)</f>
        <v>1635.3274972950003</v>
      </c>
      <c r="AD107" s="523"/>
      <c r="AE107" s="522">
        <f>AE86*(AE20+AE48+AE67)</f>
        <v>1668.0340472409002</v>
      </c>
      <c r="AG107" s="481">
        <f>VLOOKUP(B107,'FY21'!C:AC,22)</f>
        <v>273.82321999999999</v>
      </c>
      <c r="AH107" s="481">
        <f t="shared" si="134"/>
        <v>1267.182405</v>
      </c>
    </row>
    <row r="108" spans="2:41" outlineLevel="1" x14ac:dyDescent="0.25">
      <c r="B108" s="377">
        <v>6247</v>
      </c>
      <c r="C108" s="305" t="s">
        <v>214</v>
      </c>
      <c r="K108" s="521">
        <f>K86*(K26+K35+K54+K73)</f>
        <v>1293.4156599999999</v>
      </c>
      <c r="L108" s="522">
        <f>$K$86*(L26+L35+L54+L73)</f>
        <v>103.43463833333334</v>
      </c>
      <c r="M108" s="522">
        <f t="shared" ref="M108:W108" si="144">$K$86*(M26+M35+M54+M73)</f>
        <v>103.43463833333334</v>
      </c>
      <c r="N108" s="522">
        <f t="shared" si="144"/>
        <v>114.30963833333334</v>
      </c>
      <c r="O108" s="522">
        <f>$K$86*(O26+O35+O54+O73)</f>
        <v>116.48463833333334</v>
      </c>
      <c r="P108" s="522">
        <f t="shared" si="144"/>
        <v>105.60963833333334</v>
      </c>
      <c r="Q108" s="522">
        <f t="shared" si="144"/>
        <v>105.60963833333334</v>
      </c>
      <c r="R108" s="522">
        <f t="shared" si="144"/>
        <v>105.60963833333334</v>
      </c>
      <c r="S108" s="522">
        <f t="shared" si="144"/>
        <v>114.30963833333334</v>
      </c>
      <c r="T108" s="522">
        <f t="shared" si="144"/>
        <v>114.30963833333334</v>
      </c>
      <c r="U108" s="522">
        <f t="shared" si="144"/>
        <v>103.43463833333334</v>
      </c>
      <c r="V108" s="522">
        <f t="shared" si="144"/>
        <v>103.43463833333334</v>
      </c>
      <c r="W108" s="522">
        <f t="shared" si="144"/>
        <v>103.43463833333334</v>
      </c>
      <c r="X108" s="380"/>
      <c r="Y108" s="522">
        <f>Y86*(Y26+Y35+Y54+Y73)</f>
        <v>1319.2839732</v>
      </c>
      <c r="Z108" s="410"/>
      <c r="AA108" s="522">
        <f>AA86*(AA26+AA35+AA54+AA73)</f>
        <v>1345.6696526640001</v>
      </c>
      <c r="AB108" s="523"/>
      <c r="AC108" s="522">
        <f>AC86*(AC26+AC35+AC54+AC73)</f>
        <v>1372.5830457172799</v>
      </c>
      <c r="AD108" s="523"/>
      <c r="AE108" s="522">
        <f>AE86*(AE26+AE35+AE54+AE73)</f>
        <v>1400.0347066316256</v>
      </c>
      <c r="AG108" s="481">
        <f>VLOOKUP(B108,'FY21'!C:AC,22)</f>
        <v>1233.3842530468753</v>
      </c>
      <c r="AH108" s="481">
        <f t="shared" si="134"/>
        <v>60.031406953124588</v>
      </c>
    </row>
    <row r="109" spans="2:41" x14ac:dyDescent="0.25">
      <c r="B109" s="307"/>
      <c r="C109" s="314" t="s">
        <v>82</v>
      </c>
      <c r="K109" s="524">
        <f>SUBTOTAL(9,K106:K108)</f>
        <v>4525.7384775</v>
      </c>
      <c r="L109" s="649">
        <f t="shared" ref="L109:W109" si="145">SUBTOTAL(9,L106:L108)</f>
        <v>354.55508145833335</v>
      </c>
      <c r="M109" s="649">
        <f t="shared" si="145"/>
        <v>354.55508145833335</v>
      </c>
      <c r="N109" s="649">
        <f t="shared" si="145"/>
        <v>400.65058145833336</v>
      </c>
      <c r="O109" s="649">
        <f t="shared" si="145"/>
        <v>397.33008145833338</v>
      </c>
      <c r="P109" s="649">
        <f t="shared" si="145"/>
        <v>378.17558145833334</v>
      </c>
      <c r="Q109" s="649">
        <f t="shared" si="145"/>
        <v>364.70508145833338</v>
      </c>
      <c r="R109" s="649">
        <f t="shared" si="145"/>
        <v>378.17558145833334</v>
      </c>
      <c r="S109" s="649">
        <f t="shared" si="145"/>
        <v>387.18008145833335</v>
      </c>
      <c r="T109" s="649">
        <f t="shared" si="145"/>
        <v>400.65058145833336</v>
      </c>
      <c r="U109" s="649">
        <f t="shared" si="145"/>
        <v>368.02558145833336</v>
      </c>
      <c r="V109" s="649">
        <f t="shared" si="145"/>
        <v>354.55508145833335</v>
      </c>
      <c r="W109" s="649">
        <f t="shared" si="145"/>
        <v>387.18008145833335</v>
      </c>
      <c r="X109" s="380"/>
      <c r="Y109" s="525">
        <f>SUBTOTAL(9,Y106:Y108)</f>
        <v>4616.25324705</v>
      </c>
      <c r="Z109" s="410"/>
      <c r="AA109" s="525">
        <f>SUBTOTAL(9,AA106:AA108)</f>
        <v>4708.5783119910002</v>
      </c>
      <c r="AB109" s="523"/>
      <c r="AC109" s="525">
        <f>SUBTOTAL(9,AC106:AC108)</f>
        <v>4802.7498782308203</v>
      </c>
      <c r="AD109" s="523"/>
      <c r="AE109" s="525">
        <f>SUBTOTAL(9,AE106:AE108)</f>
        <v>4898.8048757954366</v>
      </c>
      <c r="AG109" s="481"/>
      <c r="AH109" s="481"/>
      <c r="AI109" s="520"/>
      <c r="AJ109" s="520"/>
      <c r="AK109" s="520"/>
      <c r="AL109" s="520"/>
      <c r="AM109" s="520"/>
      <c r="AN109" s="520"/>
      <c r="AO109" s="520"/>
    </row>
    <row r="110" spans="2:41" outlineLevel="1" x14ac:dyDescent="0.25">
      <c r="B110" s="502">
        <v>6261</v>
      </c>
      <c r="C110" s="503" t="s">
        <v>207</v>
      </c>
      <c r="D110" s="504"/>
      <c r="E110" s="505"/>
      <c r="F110" s="506"/>
      <c r="G110" s="506"/>
      <c r="H110" s="506"/>
      <c r="I110" s="507"/>
      <c r="J110" s="504"/>
      <c r="K110" s="530">
        <f>(SUMIF(K9:K13,"&lt;31200")*K87)+(COUNTIF(K9:K13,"&gt;31200")*31200*K87)</f>
        <v>936</v>
      </c>
      <c r="L110" s="650">
        <f>$K110/12</f>
        <v>78</v>
      </c>
      <c r="M110" s="650">
        <f t="shared" ref="M110:W112" si="146">$K110/12</f>
        <v>78</v>
      </c>
      <c r="N110" s="650">
        <f t="shared" si="146"/>
        <v>78</v>
      </c>
      <c r="O110" s="650">
        <f t="shared" si="146"/>
        <v>78</v>
      </c>
      <c r="P110" s="650">
        <f t="shared" si="146"/>
        <v>78</v>
      </c>
      <c r="Q110" s="650">
        <f t="shared" si="146"/>
        <v>78</v>
      </c>
      <c r="R110" s="650">
        <f t="shared" si="146"/>
        <v>78</v>
      </c>
      <c r="S110" s="650">
        <f t="shared" si="146"/>
        <v>78</v>
      </c>
      <c r="T110" s="650">
        <f t="shared" si="146"/>
        <v>78</v>
      </c>
      <c r="U110" s="650">
        <f t="shared" si="146"/>
        <v>78</v>
      </c>
      <c r="V110" s="650">
        <f t="shared" si="146"/>
        <v>78</v>
      </c>
      <c r="W110" s="650">
        <f t="shared" si="146"/>
        <v>78</v>
      </c>
      <c r="X110" s="510"/>
      <c r="Y110" s="509">
        <f>(SUMIF(Y9:Y13,"&lt;31200")*Y87)+(COUNTIF(Y9:Y13,"&gt;31200")*31200*Y87)</f>
        <v>936</v>
      </c>
      <c r="Z110" s="511"/>
      <c r="AA110" s="509">
        <f>(SUMIF(AA9:AA13,"&lt;31200")*AA87)+(COUNTIF(AA9:AA13,"&gt;31200")*31200*AA87)</f>
        <v>936</v>
      </c>
      <c r="AB110" s="512"/>
      <c r="AC110" s="509">
        <f>(SUMIF(AC9:AC13,"&lt;31200")*AC87)+(COUNTIF(AC9:AC13,"&gt;31200")*31200*AC87)</f>
        <v>936</v>
      </c>
      <c r="AD110" s="512"/>
      <c r="AE110" s="509">
        <f>(SUMIF(AE9:AE13,"&lt;31200")*AE87)+(COUNTIF(AE9:AE13,"&gt;31200")*31200*AE87)</f>
        <v>936</v>
      </c>
      <c r="AG110" s="481">
        <f>VLOOKUP(B110,'FY21'!C:AC,22)</f>
        <v>0</v>
      </c>
      <c r="AH110" s="481">
        <f t="shared" si="134"/>
        <v>936</v>
      </c>
    </row>
    <row r="111" spans="2:41" outlineLevel="1" x14ac:dyDescent="0.25">
      <c r="B111" s="502">
        <v>6264</v>
      </c>
      <c r="C111" s="503" t="s">
        <v>215</v>
      </c>
      <c r="D111" s="504"/>
      <c r="E111" s="505"/>
      <c r="F111" s="506"/>
      <c r="G111" s="506"/>
      <c r="H111" s="506"/>
      <c r="I111" s="507"/>
      <c r="J111" s="504"/>
      <c r="K111" s="530">
        <f>(SUMIF(K16:K19,"&lt;31200")*K87)+(COUNTIF(K16:K19,"&gt;31200")*31200*K87)</f>
        <v>468</v>
      </c>
      <c r="L111" s="650">
        <f>$K111/12</f>
        <v>39</v>
      </c>
      <c r="M111" s="650">
        <f t="shared" si="146"/>
        <v>39</v>
      </c>
      <c r="N111" s="650">
        <f t="shared" si="146"/>
        <v>39</v>
      </c>
      <c r="O111" s="650">
        <f t="shared" si="146"/>
        <v>39</v>
      </c>
      <c r="P111" s="650">
        <f t="shared" si="146"/>
        <v>39</v>
      </c>
      <c r="Q111" s="650">
        <f t="shared" si="146"/>
        <v>39</v>
      </c>
      <c r="R111" s="650">
        <f t="shared" si="146"/>
        <v>39</v>
      </c>
      <c r="S111" s="650">
        <f t="shared" si="146"/>
        <v>39</v>
      </c>
      <c r="T111" s="650">
        <f t="shared" si="146"/>
        <v>39</v>
      </c>
      <c r="U111" s="650">
        <f t="shared" si="146"/>
        <v>39</v>
      </c>
      <c r="V111" s="650">
        <f t="shared" si="146"/>
        <v>39</v>
      </c>
      <c r="W111" s="650">
        <f t="shared" si="146"/>
        <v>39</v>
      </c>
      <c r="X111" s="510"/>
      <c r="Y111" s="513">
        <f>(SUMIF(Y16:Y19,"&lt;31200")*Y87)+(COUNTIF(Y16:Y19,"&gt;31200")*31200*Y87)</f>
        <v>468</v>
      </c>
      <c r="Z111" s="514"/>
      <c r="AA111" s="513">
        <f>(SUMIF(AA16:AA19,"&lt;31200")*AA87)+(COUNTIF(AA16:AA19,"&gt;31200")*31200*AA87)</f>
        <v>468</v>
      </c>
      <c r="AB111" s="515"/>
      <c r="AC111" s="513">
        <f>(SUMIF(AC16:AC19,"&lt;31200")*AC87)+(COUNTIF(AC16:AC19,"&gt;31200")*31200*AC87)</f>
        <v>468</v>
      </c>
      <c r="AD111" s="515"/>
      <c r="AE111" s="513">
        <f>(SUMIF(AE16:AE19,"&lt;31200")*AE87)+(COUNTIF(AE16:AE19,"&gt;31200")*31200*AE87)</f>
        <v>468</v>
      </c>
      <c r="AG111" s="481">
        <f>VLOOKUP(B111,'FY21'!C:AC,22)</f>
        <v>-468</v>
      </c>
      <c r="AH111" s="481">
        <f t="shared" si="134"/>
        <v>936</v>
      </c>
    </row>
    <row r="112" spans="2:41" outlineLevel="1" x14ac:dyDescent="0.25">
      <c r="B112" s="502">
        <v>6267</v>
      </c>
      <c r="C112" s="503" t="s">
        <v>216</v>
      </c>
      <c r="D112" s="504"/>
      <c r="E112" s="505"/>
      <c r="F112" s="506"/>
      <c r="G112" s="506"/>
      <c r="H112" s="506"/>
      <c r="I112" s="507"/>
      <c r="J112" s="504"/>
      <c r="K112" s="530">
        <f>(SUMIF(K29:K33,"&lt;31200")*K87)+(COUNTIF(K29:K33,"&gt;31200")*31200*K87)+(SUMIF(K22:K25,"&lt;31200")*K87)+(COUNTIF(K22:K25,"&gt;31200")*31200*K87)</f>
        <v>1060.8</v>
      </c>
      <c r="L112" s="650">
        <f>$K112/12</f>
        <v>88.399999999999991</v>
      </c>
      <c r="M112" s="650">
        <f t="shared" si="146"/>
        <v>88.399999999999991</v>
      </c>
      <c r="N112" s="650">
        <f t="shared" si="146"/>
        <v>88.399999999999991</v>
      </c>
      <c r="O112" s="650">
        <f t="shared" si="146"/>
        <v>88.399999999999991</v>
      </c>
      <c r="P112" s="650">
        <f t="shared" si="146"/>
        <v>88.399999999999991</v>
      </c>
      <c r="Q112" s="650">
        <f t="shared" si="146"/>
        <v>88.399999999999991</v>
      </c>
      <c r="R112" s="650">
        <f t="shared" si="146"/>
        <v>88.399999999999991</v>
      </c>
      <c r="S112" s="650">
        <f t="shared" si="146"/>
        <v>88.399999999999991</v>
      </c>
      <c r="T112" s="650">
        <f t="shared" si="146"/>
        <v>88.399999999999991</v>
      </c>
      <c r="U112" s="650">
        <f t="shared" si="146"/>
        <v>88.399999999999991</v>
      </c>
      <c r="V112" s="650">
        <f t="shared" si="146"/>
        <v>88.399999999999991</v>
      </c>
      <c r="W112" s="650">
        <f t="shared" si="146"/>
        <v>88.399999999999991</v>
      </c>
      <c r="X112" s="510"/>
      <c r="Y112" s="513">
        <f>(SUMIF(Y22:Y25,"&lt;31200")*Y87)+(COUNTIF(Y22:Y25,"&gt;31200")*31200*Y87)</f>
        <v>468</v>
      </c>
      <c r="Z112" s="514"/>
      <c r="AA112" s="513">
        <f>(SUMIF(AA22:AA25,"&lt;31200")*AA87)+(COUNTIF(AA22:AA25,"&gt;31200")*31200*AA87)</f>
        <v>468</v>
      </c>
      <c r="AB112" s="515"/>
      <c r="AC112" s="513">
        <f>(SUMIF(AC22:AC25,"&lt;31200")*AC87)+(COUNTIF(AC22:AC25,"&gt;31200")*31200*AC87)</f>
        <v>468</v>
      </c>
      <c r="AD112" s="515"/>
      <c r="AE112" s="513">
        <f>(SUMIF(AE22:AE25,"&lt;31200")*AE87)+(COUNTIF(AE22:AE25,"&gt;31200")*31200*AE87)</f>
        <v>468</v>
      </c>
      <c r="AG112" s="481">
        <f>VLOOKUP(B112,'FY21'!C:AC,22)</f>
        <v>936.59708906249989</v>
      </c>
      <c r="AH112" s="481">
        <f t="shared" si="134"/>
        <v>124.20291093750006</v>
      </c>
    </row>
    <row r="113" spans="2:41" x14ac:dyDescent="0.25">
      <c r="B113" s="516"/>
      <c r="C113" s="517" t="s">
        <v>239</v>
      </c>
      <c r="D113" s="504"/>
      <c r="E113" s="505"/>
      <c r="F113" s="506"/>
      <c r="G113" s="506"/>
      <c r="H113" s="506"/>
      <c r="I113" s="507"/>
      <c r="J113" s="504"/>
      <c r="K113" s="518">
        <f>SUBTOTAL(9,K110:K112)</f>
        <v>2464.8000000000002</v>
      </c>
      <c r="L113" s="647">
        <f>SUBTOTAL(9,L110:L112)</f>
        <v>205.39999999999998</v>
      </c>
      <c r="M113" s="647">
        <f t="shared" ref="M113:W113" si="147">SUBTOTAL(9,M110:M112)</f>
        <v>205.39999999999998</v>
      </c>
      <c r="N113" s="647">
        <f t="shared" si="147"/>
        <v>205.39999999999998</v>
      </c>
      <c r="O113" s="647">
        <f t="shared" si="147"/>
        <v>205.39999999999998</v>
      </c>
      <c r="P113" s="647">
        <f t="shared" si="147"/>
        <v>205.39999999999998</v>
      </c>
      <c r="Q113" s="647">
        <f t="shared" si="147"/>
        <v>205.39999999999998</v>
      </c>
      <c r="R113" s="647">
        <f t="shared" si="147"/>
        <v>205.39999999999998</v>
      </c>
      <c r="S113" s="647">
        <f t="shared" si="147"/>
        <v>205.39999999999998</v>
      </c>
      <c r="T113" s="647">
        <f t="shared" si="147"/>
        <v>205.39999999999998</v>
      </c>
      <c r="U113" s="647">
        <f t="shared" si="147"/>
        <v>205.39999999999998</v>
      </c>
      <c r="V113" s="647">
        <f t="shared" si="147"/>
        <v>205.39999999999998</v>
      </c>
      <c r="W113" s="647">
        <f t="shared" si="147"/>
        <v>205.39999999999998</v>
      </c>
      <c r="X113" s="510"/>
      <c r="Y113" s="519">
        <f>SUBTOTAL(9,Y110:Y112)</f>
        <v>1872</v>
      </c>
      <c r="Z113" s="514"/>
      <c r="AA113" s="519">
        <f>SUBTOTAL(9,AA110:AA112)</f>
        <v>1872</v>
      </c>
      <c r="AB113" s="515"/>
      <c r="AC113" s="519">
        <f>SUBTOTAL(9,AC110:AC112)</f>
        <v>1872</v>
      </c>
      <c r="AD113" s="515"/>
      <c r="AE113" s="519">
        <f>SUBTOTAL(9,AE110:AE112)</f>
        <v>1872</v>
      </c>
      <c r="AG113" s="481"/>
      <c r="AH113" s="481"/>
      <c r="AI113" s="520"/>
      <c r="AJ113" s="520"/>
      <c r="AK113" s="520"/>
      <c r="AL113" s="520"/>
      <c r="AM113" s="520"/>
      <c r="AN113" s="520"/>
      <c r="AO113" s="520"/>
    </row>
    <row r="114" spans="2:41" outlineLevel="1" x14ac:dyDescent="0.25">
      <c r="B114" s="377">
        <v>6271</v>
      </c>
      <c r="C114" s="305" t="s">
        <v>209</v>
      </c>
      <c r="K114" s="521">
        <f>K88*(K14+K42+K61)</f>
        <v>758.1766725</v>
      </c>
      <c r="L114" s="522">
        <f>$K114/12</f>
        <v>63.181389375000002</v>
      </c>
      <c r="M114" s="522">
        <f t="shared" ref="M114:W116" si="148">$K114/12</f>
        <v>63.181389375000002</v>
      </c>
      <c r="N114" s="522">
        <f t="shared" si="148"/>
        <v>63.181389375000002</v>
      </c>
      <c r="O114" s="522">
        <f t="shared" si="148"/>
        <v>63.181389375000002</v>
      </c>
      <c r="P114" s="522">
        <f t="shared" si="148"/>
        <v>63.181389375000002</v>
      </c>
      <c r="Q114" s="522">
        <f t="shared" si="148"/>
        <v>63.181389375000002</v>
      </c>
      <c r="R114" s="522">
        <f t="shared" si="148"/>
        <v>63.181389375000002</v>
      </c>
      <c r="S114" s="522">
        <f t="shared" si="148"/>
        <v>63.181389375000002</v>
      </c>
      <c r="T114" s="522">
        <f t="shared" si="148"/>
        <v>63.181389375000002</v>
      </c>
      <c r="U114" s="522">
        <f t="shared" si="148"/>
        <v>63.181389375000002</v>
      </c>
      <c r="V114" s="522">
        <f t="shared" si="148"/>
        <v>63.181389375000002</v>
      </c>
      <c r="W114" s="522">
        <f t="shared" si="148"/>
        <v>63.181389375000002</v>
      </c>
      <c r="X114" s="380"/>
      <c r="Y114" s="527">
        <f>Y88*(Y14+Y42+Y61)</f>
        <v>773.34020594999993</v>
      </c>
      <c r="Z114" s="528"/>
      <c r="AA114" s="527">
        <f>AA88*(AA14+AA42+AA61)</f>
        <v>788.80701006899994</v>
      </c>
      <c r="AB114" s="529"/>
      <c r="AC114" s="527">
        <f>AC88*(AC14+AC42+AC61)</f>
        <v>804.58315027037997</v>
      </c>
      <c r="AD114" s="529"/>
      <c r="AE114" s="527">
        <f>AE88*(AE14+AE42+AE61)</f>
        <v>820.67481327578764</v>
      </c>
      <c r="AG114" s="481">
        <f>VLOOKUP(B114,'FY21'!C:AC,22)</f>
        <v>429.7894331249999</v>
      </c>
      <c r="AH114" s="481">
        <f t="shared" si="134"/>
        <v>328.38723937500009</v>
      </c>
    </row>
    <row r="115" spans="2:41" outlineLevel="1" x14ac:dyDescent="0.25">
      <c r="B115" s="377">
        <v>6274</v>
      </c>
      <c r="C115" s="305" t="s">
        <v>217</v>
      </c>
      <c r="K115" s="521">
        <f>K88*(K20+K48+K67)</f>
        <v>690.79562499999997</v>
      </c>
      <c r="L115" s="522">
        <f>$K115/12</f>
        <v>57.566302083333333</v>
      </c>
      <c r="M115" s="522">
        <f t="shared" si="148"/>
        <v>57.566302083333333</v>
      </c>
      <c r="N115" s="522">
        <f t="shared" si="148"/>
        <v>57.566302083333333</v>
      </c>
      <c r="O115" s="522">
        <f t="shared" si="148"/>
        <v>57.566302083333333</v>
      </c>
      <c r="P115" s="522">
        <f t="shared" si="148"/>
        <v>57.566302083333333</v>
      </c>
      <c r="Q115" s="522">
        <f t="shared" si="148"/>
        <v>57.566302083333333</v>
      </c>
      <c r="R115" s="522">
        <f t="shared" si="148"/>
        <v>57.566302083333333</v>
      </c>
      <c r="S115" s="522">
        <f t="shared" si="148"/>
        <v>57.566302083333333</v>
      </c>
      <c r="T115" s="522">
        <f t="shared" si="148"/>
        <v>57.566302083333333</v>
      </c>
      <c r="U115" s="522">
        <f t="shared" si="148"/>
        <v>57.566302083333333</v>
      </c>
      <c r="V115" s="522">
        <f t="shared" si="148"/>
        <v>57.566302083333333</v>
      </c>
      <c r="W115" s="522">
        <f t="shared" si="148"/>
        <v>57.566302083333333</v>
      </c>
      <c r="X115" s="380"/>
      <c r="Y115" s="522">
        <f>Y88*(Y20+Y48+Y67)</f>
        <v>704.61153749999994</v>
      </c>
      <c r="Z115" s="410"/>
      <c r="AA115" s="522">
        <f>AA88*(AA20+AA48+AA67)</f>
        <v>718.70376825000005</v>
      </c>
      <c r="AB115" s="523"/>
      <c r="AC115" s="522">
        <f>AC88*(AC20+AC48+AC67)</f>
        <v>733.07784361500001</v>
      </c>
      <c r="AD115" s="523"/>
      <c r="AE115" s="522">
        <f>AE88*(AE20+AE48+AE67)</f>
        <v>747.73940048730003</v>
      </c>
      <c r="AG115" s="481">
        <f>VLOOKUP(B115,'FY21'!C:AC,22)</f>
        <v>122.74833999999987</v>
      </c>
      <c r="AH115" s="481">
        <f t="shared" si="134"/>
        <v>568.0472850000001</v>
      </c>
    </row>
    <row r="116" spans="2:41" outlineLevel="1" x14ac:dyDescent="0.25">
      <c r="B116" s="377">
        <v>6277</v>
      </c>
      <c r="C116" s="305" t="s">
        <v>218</v>
      </c>
      <c r="K116" s="521">
        <f>K88*(K26+K35+K54+K73)</f>
        <v>579.80701999999985</v>
      </c>
      <c r="L116" s="522">
        <f>$K116/12</f>
        <v>48.317251666666657</v>
      </c>
      <c r="M116" s="522">
        <f t="shared" si="148"/>
        <v>48.317251666666657</v>
      </c>
      <c r="N116" s="522">
        <f t="shared" si="148"/>
        <v>48.317251666666657</v>
      </c>
      <c r="O116" s="522">
        <f t="shared" si="148"/>
        <v>48.317251666666657</v>
      </c>
      <c r="P116" s="522">
        <f t="shared" si="148"/>
        <v>48.317251666666657</v>
      </c>
      <c r="Q116" s="522">
        <f t="shared" si="148"/>
        <v>48.317251666666657</v>
      </c>
      <c r="R116" s="522">
        <f t="shared" si="148"/>
        <v>48.317251666666657</v>
      </c>
      <c r="S116" s="522">
        <f t="shared" si="148"/>
        <v>48.317251666666657</v>
      </c>
      <c r="T116" s="522">
        <f t="shared" si="148"/>
        <v>48.317251666666657</v>
      </c>
      <c r="U116" s="522">
        <f t="shared" si="148"/>
        <v>48.317251666666657</v>
      </c>
      <c r="V116" s="522">
        <f t="shared" si="148"/>
        <v>48.317251666666657</v>
      </c>
      <c r="W116" s="522">
        <f t="shared" si="148"/>
        <v>48.317251666666657</v>
      </c>
      <c r="X116" s="380"/>
      <c r="Y116" s="522">
        <f>Y88*(Y26+Y35+Y54+Y73)</f>
        <v>591.40316039999993</v>
      </c>
      <c r="Z116" s="410"/>
      <c r="AA116" s="522">
        <f>AA88*(AA26+AA35+AA54+AA73)</f>
        <v>603.23122360799994</v>
      </c>
      <c r="AB116" s="523"/>
      <c r="AC116" s="522">
        <f>AC88*(AC26+AC35+AC54+AC73)</f>
        <v>615.29584808015989</v>
      </c>
      <c r="AD116" s="523"/>
      <c r="AE116" s="522">
        <f>AE88*(AE26+AE35+AE54+AE73)</f>
        <v>627.60176504176309</v>
      </c>
      <c r="AG116" s="481">
        <f>VLOOKUP(B116,'FY21'!C:AC,22)</f>
        <v>552.89638929687487</v>
      </c>
      <c r="AH116" s="481">
        <f t="shared" si="134"/>
        <v>26.91063070312498</v>
      </c>
    </row>
    <row r="117" spans="2:41" x14ac:dyDescent="0.25">
      <c r="B117" s="307"/>
      <c r="C117" s="314" t="s">
        <v>83</v>
      </c>
      <c r="K117" s="524">
        <f>SUBTOTAL(9,K114:K116)</f>
        <v>2028.7793174999997</v>
      </c>
      <c r="L117" s="649">
        <f>SUBTOTAL(9,L114:L116)</f>
        <v>169.06494312499999</v>
      </c>
      <c r="M117" s="649">
        <f t="shared" ref="M117:W117" si="149">SUBTOTAL(9,M114:M116)</f>
        <v>169.06494312499999</v>
      </c>
      <c r="N117" s="649">
        <f t="shared" si="149"/>
        <v>169.06494312499999</v>
      </c>
      <c r="O117" s="649">
        <f t="shared" si="149"/>
        <v>169.06494312499999</v>
      </c>
      <c r="P117" s="649">
        <f t="shared" si="149"/>
        <v>169.06494312499999</v>
      </c>
      <c r="Q117" s="649">
        <f t="shared" si="149"/>
        <v>169.06494312499999</v>
      </c>
      <c r="R117" s="649">
        <f t="shared" si="149"/>
        <v>169.06494312499999</v>
      </c>
      <c r="S117" s="649">
        <f t="shared" si="149"/>
        <v>169.06494312499999</v>
      </c>
      <c r="T117" s="649">
        <f t="shared" si="149"/>
        <v>169.06494312499999</v>
      </c>
      <c r="U117" s="649">
        <f t="shared" si="149"/>
        <v>169.06494312499999</v>
      </c>
      <c r="V117" s="649">
        <f t="shared" si="149"/>
        <v>169.06494312499999</v>
      </c>
      <c r="W117" s="649">
        <f t="shared" si="149"/>
        <v>169.06494312499999</v>
      </c>
      <c r="X117" s="380"/>
      <c r="Y117" s="525">
        <f>SUBTOTAL(9,Y114:Y116)</f>
        <v>2069.3549038499996</v>
      </c>
      <c r="Z117" s="410"/>
      <c r="AA117" s="525">
        <f>SUBTOTAL(9,AA114:AA116)</f>
        <v>2110.7420019270003</v>
      </c>
      <c r="AB117" s="523"/>
      <c r="AC117" s="525">
        <f>SUBTOTAL(9,AC114:AC116)</f>
        <v>2152.9568419655398</v>
      </c>
      <c r="AD117" s="523"/>
      <c r="AE117" s="525">
        <f>SUBTOTAL(9,AE114:AE116)</f>
        <v>2196.0159788048509</v>
      </c>
      <c r="AG117" s="481"/>
      <c r="AH117" s="481"/>
      <c r="AI117" s="520"/>
      <c r="AJ117" s="520"/>
      <c r="AK117" s="520"/>
      <c r="AL117" s="520"/>
      <c r="AM117" s="520"/>
      <c r="AN117" s="520"/>
      <c r="AO117" s="520"/>
    </row>
    <row r="118" spans="2:41" outlineLevel="1" x14ac:dyDescent="0.25">
      <c r="B118" s="502">
        <v>6281</v>
      </c>
      <c r="C118" s="503" t="s">
        <v>193</v>
      </c>
      <c r="D118" s="504"/>
      <c r="E118" s="505"/>
      <c r="F118" s="506"/>
      <c r="G118" s="506"/>
      <c r="H118" s="506"/>
      <c r="I118" s="507"/>
      <c r="J118" s="504"/>
      <c r="K118" s="526">
        <f>K93*I14</f>
        <v>9720</v>
      </c>
      <c r="L118" s="508">
        <f t="shared" ref="L118:W118" si="150">SUM(L10:L13)*$F$93</f>
        <v>810</v>
      </c>
      <c r="M118" s="508">
        <f t="shared" si="150"/>
        <v>810</v>
      </c>
      <c r="N118" s="508">
        <f t="shared" si="150"/>
        <v>810</v>
      </c>
      <c r="O118" s="508">
        <f t="shared" si="150"/>
        <v>810</v>
      </c>
      <c r="P118" s="508">
        <f t="shared" si="150"/>
        <v>810</v>
      </c>
      <c r="Q118" s="508">
        <f t="shared" si="150"/>
        <v>810</v>
      </c>
      <c r="R118" s="508">
        <f t="shared" si="150"/>
        <v>810</v>
      </c>
      <c r="S118" s="508">
        <f t="shared" si="150"/>
        <v>810</v>
      </c>
      <c r="T118" s="508">
        <f t="shared" si="150"/>
        <v>810</v>
      </c>
      <c r="U118" s="508">
        <f t="shared" si="150"/>
        <v>810</v>
      </c>
      <c r="V118" s="508">
        <f t="shared" si="150"/>
        <v>810</v>
      </c>
      <c r="W118" s="508">
        <f t="shared" si="150"/>
        <v>810</v>
      </c>
      <c r="X118" s="510"/>
      <c r="Y118" s="509">
        <f>Y93*X14</f>
        <v>10692</v>
      </c>
      <c r="Z118" s="511"/>
      <c r="AA118" s="509">
        <f>AA93*Z14</f>
        <v>11761.199999999999</v>
      </c>
      <c r="AB118" s="512"/>
      <c r="AC118" s="509">
        <f>AC93*AB14</f>
        <v>12937.320000000003</v>
      </c>
      <c r="AD118" s="512"/>
      <c r="AE118" s="509">
        <f>AE93*AD14</f>
        <v>14231.052000000003</v>
      </c>
      <c r="AG118" s="481">
        <f>VLOOKUP(B118,'FY21'!C:AC,22)</f>
        <v>4860</v>
      </c>
      <c r="AH118" s="481">
        <f t="shared" si="134"/>
        <v>4860</v>
      </c>
    </row>
    <row r="119" spans="2:41" outlineLevel="1" x14ac:dyDescent="0.25">
      <c r="B119" s="502">
        <v>6284</v>
      </c>
      <c r="C119" s="503" t="s">
        <v>204</v>
      </c>
      <c r="D119" s="504"/>
      <c r="E119" s="505"/>
      <c r="F119" s="506"/>
      <c r="G119" s="506"/>
      <c r="H119" s="506"/>
      <c r="I119" s="507"/>
      <c r="J119" s="504"/>
      <c r="K119" s="526">
        <f>K93*I20</f>
        <v>4860</v>
      </c>
      <c r="L119" s="508">
        <f t="shared" ref="L119:W119" si="151">SUM(L17:L19)*$F$93</f>
        <v>405</v>
      </c>
      <c r="M119" s="508">
        <f t="shared" si="151"/>
        <v>405</v>
      </c>
      <c r="N119" s="508">
        <f t="shared" si="151"/>
        <v>405</v>
      </c>
      <c r="O119" s="508">
        <f t="shared" si="151"/>
        <v>405</v>
      </c>
      <c r="P119" s="508">
        <f t="shared" si="151"/>
        <v>405</v>
      </c>
      <c r="Q119" s="508">
        <f t="shared" si="151"/>
        <v>405</v>
      </c>
      <c r="R119" s="508">
        <f t="shared" si="151"/>
        <v>405</v>
      </c>
      <c r="S119" s="508">
        <f t="shared" si="151"/>
        <v>405</v>
      </c>
      <c r="T119" s="508">
        <f t="shared" si="151"/>
        <v>405</v>
      </c>
      <c r="U119" s="508">
        <f t="shared" si="151"/>
        <v>405</v>
      </c>
      <c r="V119" s="508">
        <f t="shared" si="151"/>
        <v>405</v>
      </c>
      <c r="W119" s="508">
        <f t="shared" si="151"/>
        <v>405</v>
      </c>
      <c r="X119" s="510"/>
      <c r="Y119" s="513">
        <f>Y93*X20</f>
        <v>5346</v>
      </c>
      <c r="Z119" s="514"/>
      <c r="AA119" s="513">
        <f>AA93*Z20</f>
        <v>5880.5999999999995</v>
      </c>
      <c r="AB119" s="515"/>
      <c r="AC119" s="513">
        <f>AC93*AB20</f>
        <v>6468.6600000000017</v>
      </c>
      <c r="AD119" s="515"/>
      <c r="AE119" s="513">
        <f>AE93*AD20</f>
        <v>7115.5260000000017</v>
      </c>
      <c r="AG119" s="481">
        <f>VLOOKUP(B119,'FY21'!C:AC,22)</f>
        <v>0</v>
      </c>
      <c r="AH119" s="481">
        <f t="shared" si="134"/>
        <v>4860</v>
      </c>
    </row>
    <row r="120" spans="2:41" outlineLevel="1" x14ac:dyDescent="0.25">
      <c r="B120" s="502">
        <v>6287</v>
      </c>
      <c r="C120" s="503" t="s">
        <v>195</v>
      </c>
      <c r="D120" s="504"/>
      <c r="E120" s="505"/>
      <c r="F120" s="506"/>
      <c r="G120" s="506"/>
      <c r="H120" s="506"/>
      <c r="I120" s="507"/>
      <c r="J120" s="504"/>
      <c r="K120" s="526">
        <f>K93*I26</f>
        <v>4860</v>
      </c>
      <c r="L120" s="513">
        <f t="shared" ref="L120:W120" si="152">SUM(L23:L25)*$F$93</f>
        <v>405</v>
      </c>
      <c r="M120" s="513">
        <f t="shared" si="152"/>
        <v>405</v>
      </c>
      <c r="N120" s="513">
        <f t="shared" si="152"/>
        <v>405</v>
      </c>
      <c r="O120" s="513">
        <f t="shared" si="152"/>
        <v>405</v>
      </c>
      <c r="P120" s="513">
        <f t="shared" si="152"/>
        <v>405</v>
      </c>
      <c r="Q120" s="513">
        <f t="shared" si="152"/>
        <v>405</v>
      </c>
      <c r="R120" s="513">
        <f t="shared" si="152"/>
        <v>405</v>
      </c>
      <c r="S120" s="513">
        <f t="shared" si="152"/>
        <v>405</v>
      </c>
      <c r="T120" s="513">
        <f t="shared" si="152"/>
        <v>405</v>
      </c>
      <c r="U120" s="513">
        <f t="shared" si="152"/>
        <v>405</v>
      </c>
      <c r="V120" s="513">
        <f t="shared" si="152"/>
        <v>405</v>
      </c>
      <c r="W120" s="513">
        <f t="shared" si="152"/>
        <v>405</v>
      </c>
      <c r="X120" s="510"/>
      <c r="Y120" s="513">
        <f>Y93*X26</f>
        <v>5346</v>
      </c>
      <c r="Z120" s="514"/>
      <c r="AA120" s="513">
        <f>AA93*Z26</f>
        <v>5880.5999999999995</v>
      </c>
      <c r="AB120" s="515"/>
      <c r="AC120" s="513">
        <f>AC93*AB26</f>
        <v>6468.6600000000017</v>
      </c>
      <c r="AD120" s="515"/>
      <c r="AE120" s="513">
        <f>AE93*AD26</f>
        <v>7115.5260000000017</v>
      </c>
      <c r="AG120" s="481">
        <f>VLOOKUP(B120,'FY21'!C:AC,22)</f>
        <v>4860</v>
      </c>
      <c r="AH120" s="481">
        <f t="shared" si="134"/>
        <v>0</v>
      </c>
    </row>
    <row r="121" spans="2:41" x14ac:dyDescent="0.25">
      <c r="B121" s="516"/>
      <c r="C121" s="517" t="s">
        <v>240</v>
      </c>
      <c r="D121" s="504"/>
      <c r="E121" s="505"/>
      <c r="F121" s="506"/>
      <c r="G121" s="506"/>
      <c r="H121" s="506"/>
      <c r="I121" s="507"/>
      <c r="J121" s="504"/>
      <c r="K121" s="518">
        <f>SUBTOTAL(9,K118:K120)</f>
        <v>19440</v>
      </c>
      <c r="L121" s="647">
        <f>SUBTOTAL(9,L118:L120)</f>
        <v>1620</v>
      </c>
      <c r="M121" s="647">
        <f t="shared" ref="M121:W121" si="153">SUBTOTAL(9,M118:M120)</f>
        <v>1620</v>
      </c>
      <c r="N121" s="647">
        <f t="shared" si="153"/>
        <v>1620</v>
      </c>
      <c r="O121" s="647">
        <f t="shared" si="153"/>
        <v>1620</v>
      </c>
      <c r="P121" s="647">
        <f t="shared" si="153"/>
        <v>1620</v>
      </c>
      <c r="Q121" s="647">
        <f t="shared" si="153"/>
        <v>1620</v>
      </c>
      <c r="R121" s="647">
        <f t="shared" si="153"/>
        <v>1620</v>
      </c>
      <c r="S121" s="647">
        <f t="shared" si="153"/>
        <v>1620</v>
      </c>
      <c r="T121" s="647">
        <f t="shared" si="153"/>
        <v>1620</v>
      </c>
      <c r="U121" s="647">
        <f t="shared" si="153"/>
        <v>1620</v>
      </c>
      <c r="V121" s="647">
        <f t="shared" si="153"/>
        <v>1620</v>
      </c>
      <c r="W121" s="647">
        <f t="shared" si="153"/>
        <v>1620</v>
      </c>
      <c r="X121" s="510"/>
      <c r="Y121" s="519">
        <f>SUBTOTAL(9,Y118:Y120)</f>
        <v>21384</v>
      </c>
      <c r="Z121" s="514"/>
      <c r="AA121" s="519">
        <f>SUBTOTAL(9,AA118:AA120)</f>
        <v>23522.399999999998</v>
      </c>
      <c r="AB121" s="515"/>
      <c r="AC121" s="519">
        <f>SUBTOTAL(9,AC118:AC120)</f>
        <v>25874.640000000007</v>
      </c>
      <c r="AD121" s="515"/>
      <c r="AE121" s="519">
        <f>SUBTOTAL(9,AE118:AE120)</f>
        <v>28462.104000000007</v>
      </c>
      <c r="AG121" s="447"/>
      <c r="AH121" s="447"/>
      <c r="AI121" s="520"/>
      <c r="AJ121" s="520"/>
      <c r="AK121" s="520"/>
      <c r="AL121" s="520"/>
      <c r="AM121" s="520"/>
      <c r="AN121" s="520"/>
      <c r="AO121" s="520"/>
    </row>
    <row r="122" spans="2:41" x14ac:dyDescent="0.25">
      <c r="B122" s="307"/>
      <c r="C122" s="314" t="s">
        <v>241</v>
      </c>
      <c r="K122" s="524">
        <f>SUBTOTAL(9,K94:K121)</f>
        <v>85179.429282499987</v>
      </c>
      <c r="L122" s="649">
        <f t="shared" ref="L122:W122" si="154">SUBTOTAL(9,L94:L121)</f>
        <v>7075.6959818750011</v>
      </c>
      <c r="M122" s="649">
        <f t="shared" si="154"/>
        <v>7075.6959818750011</v>
      </c>
      <c r="N122" s="649">
        <f t="shared" si="154"/>
        <v>7121.7914818750005</v>
      </c>
      <c r="O122" s="649">
        <f t="shared" si="154"/>
        <v>7118.4709818750007</v>
      </c>
      <c r="P122" s="649">
        <f t="shared" si="154"/>
        <v>7099.3164818750001</v>
      </c>
      <c r="Q122" s="649">
        <f t="shared" si="154"/>
        <v>7085.8459818750007</v>
      </c>
      <c r="R122" s="649">
        <f t="shared" si="154"/>
        <v>7099.3164818750001</v>
      </c>
      <c r="S122" s="649">
        <f t="shared" si="154"/>
        <v>7108.3209818750011</v>
      </c>
      <c r="T122" s="649">
        <f t="shared" si="154"/>
        <v>7121.7914818750005</v>
      </c>
      <c r="U122" s="649">
        <f t="shared" si="154"/>
        <v>7089.1664818750005</v>
      </c>
      <c r="V122" s="649">
        <f t="shared" si="154"/>
        <v>7075.6959818750011</v>
      </c>
      <c r="W122" s="649">
        <f t="shared" si="154"/>
        <v>7108.3209818750011</v>
      </c>
      <c r="X122" s="380"/>
      <c r="Y122" s="525">
        <f>SUBTOTAL(9,Y94:Y121)</f>
        <v>87796.121868150003</v>
      </c>
      <c r="Z122" s="410"/>
      <c r="AA122" s="525">
        <f>SUBTOTAL(9,AA94:AA121)</f>
        <v>91225.324305513001</v>
      </c>
      <c r="AB122" s="523"/>
      <c r="AC122" s="525">
        <f>SUBTOTAL(9,AC94:AC121)</f>
        <v>94894.182791623272</v>
      </c>
      <c r="AD122" s="523"/>
      <c r="AE122" s="525">
        <f>SUBTOTAL(9,AE94:AE121)</f>
        <v>98824.597647455754</v>
      </c>
      <c r="AG122" s="447"/>
      <c r="AH122" s="447"/>
    </row>
    <row r="123" spans="2:41" x14ac:dyDescent="0.25">
      <c r="K123" s="531"/>
      <c r="AG123" s="447"/>
      <c r="AH123" s="447"/>
    </row>
    <row r="124" spans="2:41" x14ac:dyDescent="0.25">
      <c r="Y124" s="520"/>
      <c r="AG124" s="447"/>
      <c r="AH124" s="447"/>
    </row>
    <row r="125" spans="2:41" x14ac:dyDescent="0.25">
      <c r="Y125" s="520"/>
      <c r="AG125" s="447"/>
      <c r="AH125" s="447"/>
    </row>
    <row r="126" spans="2:41" x14ac:dyDescent="0.25">
      <c r="Y126" s="520"/>
      <c r="AG126" s="447"/>
      <c r="AH126" s="447"/>
    </row>
    <row r="127" spans="2:41" x14ac:dyDescent="0.25">
      <c r="Y127" s="520"/>
      <c r="AG127" s="447"/>
      <c r="AH127" s="447"/>
    </row>
    <row r="128" spans="2:41" x14ac:dyDescent="0.25">
      <c r="Y128" s="520"/>
      <c r="AG128" s="447"/>
      <c r="AH128" s="447"/>
    </row>
    <row r="129" spans="25:34" x14ac:dyDescent="0.25">
      <c r="Y129" s="520"/>
      <c r="AG129" s="447"/>
      <c r="AH129" s="447"/>
    </row>
    <row r="130" spans="25:34" x14ac:dyDescent="0.25">
      <c r="AG130" s="447"/>
      <c r="AH130" s="447"/>
    </row>
    <row r="131" spans="25:34" x14ac:dyDescent="0.25">
      <c r="AG131" s="447"/>
      <c r="AH131" s="447"/>
    </row>
    <row r="132" spans="25:34" x14ac:dyDescent="0.25">
      <c r="AG132" s="447"/>
      <c r="AH132" s="447"/>
    </row>
    <row r="133" spans="25:34" x14ac:dyDescent="0.25">
      <c r="AG133" s="447"/>
      <c r="AH133" s="447"/>
    </row>
    <row r="134" spans="25:34" x14ac:dyDescent="0.25">
      <c r="AG134" s="447"/>
      <c r="AH134" s="447"/>
    </row>
    <row r="135" spans="25:34" x14ac:dyDescent="0.25">
      <c r="AG135" s="447"/>
      <c r="AH135" s="447"/>
    </row>
    <row r="136" spans="25:34" x14ac:dyDescent="0.25">
      <c r="AG136" s="447"/>
      <c r="AH136" s="447"/>
    </row>
    <row r="137" spans="25:34" x14ac:dyDescent="0.25">
      <c r="AG137" s="447"/>
      <c r="AH137" s="447"/>
    </row>
    <row r="138" spans="25:34" x14ac:dyDescent="0.25">
      <c r="AG138" s="447"/>
      <c r="AH138" s="447"/>
    </row>
    <row r="139" spans="25:34" x14ac:dyDescent="0.25">
      <c r="AG139" s="447"/>
      <c r="AH139" s="447"/>
    </row>
    <row r="140" spans="25:34" x14ac:dyDescent="0.25">
      <c r="AG140" s="447"/>
      <c r="AH140" s="447"/>
    </row>
    <row r="141" spans="25:34" x14ac:dyDescent="0.25">
      <c r="AG141" s="447"/>
      <c r="AH141" s="447"/>
    </row>
    <row r="142" spans="25:34" x14ac:dyDescent="0.25">
      <c r="AG142" s="447"/>
      <c r="AH142" s="447"/>
    </row>
    <row r="143" spans="25:34" x14ac:dyDescent="0.25">
      <c r="AG143" s="447"/>
      <c r="AH143" s="447"/>
    </row>
    <row r="144" spans="25:34" x14ac:dyDescent="0.25">
      <c r="AG144" s="447"/>
      <c r="AH144" s="447"/>
    </row>
    <row r="145" spans="33:34" x14ac:dyDescent="0.25">
      <c r="AG145" s="447"/>
      <c r="AH145" s="447"/>
    </row>
    <row r="146" spans="33:34" x14ac:dyDescent="0.25">
      <c r="AG146" s="447"/>
      <c r="AH146" s="447"/>
    </row>
    <row r="147" spans="33:34" x14ac:dyDescent="0.25">
      <c r="AG147" s="447"/>
      <c r="AH147" s="447"/>
    </row>
    <row r="148" spans="33:34" x14ac:dyDescent="0.25">
      <c r="AG148" s="447"/>
      <c r="AH148" s="447"/>
    </row>
    <row r="149" spans="33:34" x14ac:dyDescent="0.25">
      <c r="AG149" s="447"/>
      <c r="AH149" s="447"/>
    </row>
    <row r="150" spans="33:34" x14ac:dyDescent="0.25">
      <c r="AG150" s="447"/>
      <c r="AH150" s="447"/>
    </row>
    <row r="151" spans="33:34" x14ac:dyDescent="0.25">
      <c r="AG151" s="447"/>
      <c r="AH151" s="447"/>
    </row>
    <row r="152" spans="33:34" x14ac:dyDescent="0.25">
      <c r="AG152" s="447"/>
      <c r="AH152" s="447"/>
    </row>
    <row r="153" spans="33:34" x14ac:dyDescent="0.25">
      <c r="AG153" s="447"/>
      <c r="AH153" s="447"/>
    </row>
    <row r="154" spans="33:34" x14ac:dyDescent="0.25">
      <c r="AG154" s="447"/>
      <c r="AH154" s="447"/>
    </row>
    <row r="155" spans="33:34" x14ac:dyDescent="0.25">
      <c r="AG155" s="447"/>
      <c r="AH155" s="447"/>
    </row>
    <row r="156" spans="33:34" x14ac:dyDescent="0.25">
      <c r="AG156" s="447"/>
      <c r="AH156" s="447"/>
    </row>
    <row r="157" spans="33:34" x14ac:dyDescent="0.25">
      <c r="AG157" s="447"/>
      <c r="AH157" s="447"/>
    </row>
    <row r="158" spans="33:34" x14ac:dyDescent="0.25">
      <c r="AG158" s="447"/>
      <c r="AH158" s="447"/>
    </row>
    <row r="159" spans="33:34" x14ac:dyDescent="0.25">
      <c r="AG159" s="447"/>
      <c r="AH159" s="447"/>
    </row>
    <row r="160" spans="33:34" x14ac:dyDescent="0.25">
      <c r="AG160" s="447"/>
      <c r="AH160" s="447"/>
    </row>
    <row r="161" spans="33:34" x14ac:dyDescent="0.25">
      <c r="AG161" s="447"/>
      <c r="AH161" s="447"/>
    </row>
    <row r="162" spans="33:34" x14ac:dyDescent="0.25">
      <c r="AG162" s="447"/>
      <c r="AH162" s="447"/>
    </row>
    <row r="163" spans="33:34" x14ac:dyDescent="0.25">
      <c r="AG163" s="447"/>
      <c r="AH163" s="447"/>
    </row>
    <row r="164" spans="33:34" x14ac:dyDescent="0.25">
      <c r="AG164" s="447"/>
      <c r="AH164" s="447"/>
    </row>
    <row r="165" spans="33:34" x14ac:dyDescent="0.25">
      <c r="AG165" s="447"/>
      <c r="AH165" s="447"/>
    </row>
    <row r="166" spans="33:34" x14ac:dyDescent="0.25">
      <c r="AG166" s="447"/>
      <c r="AH166" s="447"/>
    </row>
    <row r="167" spans="33:34" x14ac:dyDescent="0.25">
      <c r="AG167" s="447"/>
      <c r="AH167" s="447"/>
    </row>
    <row r="168" spans="33:34" x14ac:dyDescent="0.25">
      <c r="AG168" s="447"/>
      <c r="AH168" s="447"/>
    </row>
    <row r="169" spans="33:34" x14ac:dyDescent="0.25">
      <c r="AG169" s="447"/>
      <c r="AH169" s="447"/>
    </row>
    <row r="170" spans="33:34" x14ac:dyDescent="0.25">
      <c r="AG170" s="447"/>
      <c r="AH170" s="447"/>
    </row>
    <row r="171" spans="33:34" x14ac:dyDescent="0.25">
      <c r="AG171" s="447"/>
      <c r="AH171" s="447"/>
    </row>
    <row r="172" spans="33:34" x14ac:dyDescent="0.25">
      <c r="AG172" s="447"/>
      <c r="AH172" s="447"/>
    </row>
    <row r="173" spans="33:34" x14ac:dyDescent="0.25">
      <c r="AG173" s="447"/>
      <c r="AH173" s="447"/>
    </row>
    <row r="174" spans="33:34" x14ac:dyDescent="0.25">
      <c r="AG174" s="447"/>
      <c r="AH174" s="447"/>
    </row>
    <row r="175" spans="33:34" x14ac:dyDescent="0.25">
      <c r="AG175" s="447"/>
      <c r="AH175" s="447"/>
    </row>
    <row r="176" spans="33:34" x14ac:dyDescent="0.25">
      <c r="AG176" s="447"/>
      <c r="AH176" s="447"/>
    </row>
    <row r="177" spans="33:34" x14ac:dyDescent="0.25">
      <c r="AG177" s="447"/>
      <c r="AH177" s="447"/>
    </row>
    <row r="178" spans="33:34" x14ac:dyDescent="0.25">
      <c r="AG178" s="447"/>
      <c r="AH178" s="447"/>
    </row>
    <row r="179" spans="33:34" x14ac:dyDescent="0.25">
      <c r="AG179" s="447"/>
      <c r="AH179" s="447"/>
    </row>
    <row r="180" spans="33:34" x14ac:dyDescent="0.25">
      <c r="AG180" s="447"/>
      <c r="AH180" s="447"/>
    </row>
    <row r="181" spans="33:34" x14ac:dyDescent="0.25">
      <c r="AG181" s="447"/>
      <c r="AH181" s="447"/>
    </row>
    <row r="182" spans="33:34" x14ac:dyDescent="0.25">
      <c r="AG182" s="447"/>
      <c r="AH182" s="447"/>
    </row>
    <row r="183" spans="33:34" x14ac:dyDescent="0.25">
      <c r="AG183" s="447"/>
      <c r="AH183" s="447"/>
    </row>
    <row r="184" spans="33:34" x14ac:dyDescent="0.25">
      <c r="AG184" s="447"/>
      <c r="AH184" s="447"/>
    </row>
    <row r="185" spans="33:34" x14ac:dyDescent="0.25">
      <c r="AG185" s="447"/>
      <c r="AH185" s="447"/>
    </row>
    <row r="186" spans="33:34" x14ac:dyDescent="0.25">
      <c r="AG186" s="447"/>
      <c r="AH186" s="447"/>
    </row>
    <row r="187" spans="33:34" x14ac:dyDescent="0.25">
      <c r="AG187" s="447"/>
      <c r="AH187" s="447"/>
    </row>
    <row r="188" spans="33:34" x14ac:dyDescent="0.25">
      <c r="AG188" s="447"/>
      <c r="AH188" s="447"/>
    </row>
    <row r="189" spans="33:34" x14ac:dyDescent="0.25">
      <c r="AG189" s="447"/>
      <c r="AH189" s="447"/>
    </row>
    <row r="190" spans="33:34" x14ac:dyDescent="0.25">
      <c r="AG190" s="447"/>
      <c r="AH190" s="447"/>
    </row>
    <row r="191" spans="33:34" x14ac:dyDescent="0.25">
      <c r="AG191" s="447"/>
      <c r="AH191" s="447"/>
    </row>
    <row r="192" spans="33:34" x14ac:dyDescent="0.25">
      <c r="AG192" s="447"/>
      <c r="AH192" s="447"/>
    </row>
    <row r="193" spans="33:34" x14ac:dyDescent="0.25">
      <c r="AG193" s="447"/>
      <c r="AH193" s="447"/>
    </row>
    <row r="194" spans="33:34" x14ac:dyDescent="0.25">
      <c r="AG194" s="447"/>
      <c r="AH194" s="447"/>
    </row>
    <row r="195" spans="33:34" x14ac:dyDescent="0.25">
      <c r="AG195" s="447"/>
      <c r="AH195" s="447"/>
    </row>
    <row r="196" spans="33:34" x14ac:dyDescent="0.25">
      <c r="AG196" s="447"/>
      <c r="AH196" s="447"/>
    </row>
    <row r="197" spans="33:34" x14ac:dyDescent="0.25">
      <c r="AG197" s="447"/>
      <c r="AH197" s="447"/>
    </row>
    <row r="198" spans="33:34" x14ac:dyDescent="0.25">
      <c r="AG198" s="447"/>
      <c r="AH198" s="447"/>
    </row>
    <row r="199" spans="33:34" x14ac:dyDescent="0.25">
      <c r="AG199" s="447"/>
      <c r="AH199" s="447"/>
    </row>
    <row r="200" spans="33:34" x14ac:dyDescent="0.25">
      <c r="AG200" s="447"/>
      <c r="AH200" s="447"/>
    </row>
    <row r="201" spans="33:34" x14ac:dyDescent="0.25">
      <c r="AG201" s="447"/>
      <c r="AH201" s="447"/>
    </row>
    <row r="202" spans="33:34" x14ac:dyDescent="0.25">
      <c r="AG202" s="447"/>
      <c r="AH202" s="447"/>
    </row>
    <row r="203" spans="33:34" x14ac:dyDescent="0.25">
      <c r="AG203" s="447"/>
      <c r="AH203" s="447"/>
    </row>
    <row r="204" spans="33:34" x14ac:dyDescent="0.25">
      <c r="AG204" s="447"/>
      <c r="AH204" s="447"/>
    </row>
    <row r="205" spans="33:34" x14ac:dyDescent="0.25">
      <c r="AG205" s="447"/>
      <c r="AH205" s="447"/>
    </row>
    <row r="206" spans="33:34" x14ac:dyDescent="0.25">
      <c r="AG206" s="447"/>
      <c r="AH206" s="447"/>
    </row>
    <row r="207" spans="33:34" x14ac:dyDescent="0.25">
      <c r="AG207" s="447"/>
      <c r="AH207" s="447"/>
    </row>
    <row r="208" spans="33:34" x14ac:dyDescent="0.25">
      <c r="AG208" s="447"/>
      <c r="AH208" s="447"/>
    </row>
    <row r="209" spans="33:34" x14ac:dyDescent="0.25">
      <c r="AG209" s="447"/>
      <c r="AH209" s="447"/>
    </row>
    <row r="210" spans="33:34" x14ac:dyDescent="0.25">
      <c r="AG210" s="447"/>
      <c r="AH210" s="447"/>
    </row>
    <row r="211" spans="33:34" x14ac:dyDescent="0.25">
      <c r="AG211" s="447"/>
      <c r="AH211" s="447"/>
    </row>
    <row r="212" spans="33:34" x14ac:dyDescent="0.25">
      <c r="AG212" s="447"/>
      <c r="AH212" s="447"/>
    </row>
    <row r="213" spans="33:34" x14ac:dyDescent="0.25">
      <c r="AG213" s="447"/>
      <c r="AH213" s="447"/>
    </row>
    <row r="214" spans="33:34" x14ac:dyDescent="0.25">
      <c r="AG214" s="447"/>
      <c r="AH214" s="447"/>
    </row>
    <row r="215" spans="33:34" x14ac:dyDescent="0.25">
      <c r="AG215" s="447"/>
      <c r="AH215" s="447"/>
    </row>
    <row r="216" spans="33:34" x14ac:dyDescent="0.25">
      <c r="AG216" s="447"/>
      <c r="AH216" s="447"/>
    </row>
    <row r="217" spans="33:34" x14ac:dyDescent="0.25">
      <c r="AG217" s="447"/>
      <c r="AH217" s="447"/>
    </row>
    <row r="218" spans="33:34" x14ac:dyDescent="0.25">
      <c r="AG218" s="447"/>
      <c r="AH218" s="447"/>
    </row>
    <row r="219" spans="33:34" x14ac:dyDescent="0.25">
      <c r="AG219" s="447"/>
      <c r="AH219" s="447"/>
    </row>
    <row r="220" spans="33:34" x14ac:dyDescent="0.25">
      <c r="AG220" s="447"/>
      <c r="AH220" s="447"/>
    </row>
    <row r="221" spans="33:34" x14ac:dyDescent="0.25">
      <c r="AG221" s="447"/>
      <c r="AH221" s="447"/>
    </row>
    <row r="222" spans="33:34" x14ac:dyDescent="0.25">
      <c r="AG222" s="447"/>
      <c r="AH222" s="447"/>
    </row>
    <row r="223" spans="33:34" x14ac:dyDescent="0.25">
      <c r="AG223" s="447"/>
      <c r="AH223" s="447"/>
    </row>
    <row r="224" spans="33:34" x14ac:dyDescent="0.25">
      <c r="AG224" s="447"/>
      <c r="AH224" s="447"/>
    </row>
    <row r="225" spans="33:34" x14ac:dyDescent="0.25">
      <c r="AG225" s="447"/>
      <c r="AH225" s="447"/>
    </row>
    <row r="226" spans="33:34" x14ac:dyDescent="0.25">
      <c r="AG226" s="447"/>
      <c r="AH226" s="447"/>
    </row>
    <row r="227" spans="33:34" x14ac:dyDescent="0.25">
      <c r="AG227" s="447"/>
      <c r="AH227" s="447"/>
    </row>
    <row r="228" spans="33:34" x14ac:dyDescent="0.25">
      <c r="AG228" s="447"/>
      <c r="AH228" s="447"/>
    </row>
    <row r="229" spans="33:34" x14ac:dyDescent="0.25">
      <c r="AG229" s="447"/>
      <c r="AH229" s="447"/>
    </row>
    <row r="230" spans="33:34" x14ac:dyDescent="0.25">
      <c r="AG230" s="447"/>
      <c r="AH230" s="447"/>
    </row>
    <row r="231" spans="33:34" x14ac:dyDescent="0.25">
      <c r="AG231" s="447"/>
      <c r="AH231" s="447"/>
    </row>
    <row r="232" spans="33:34" x14ac:dyDescent="0.25">
      <c r="AG232" s="447"/>
      <c r="AH232" s="447"/>
    </row>
    <row r="233" spans="33:34" x14ac:dyDescent="0.25">
      <c r="AG233" s="447"/>
      <c r="AH233" s="447"/>
    </row>
    <row r="234" spans="33:34" x14ac:dyDescent="0.25">
      <c r="AG234" s="447"/>
      <c r="AH234" s="447"/>
    </row>
    <row r="235" spans="33:34" x14ac:dyDescent="0.25">
      <c r="AG235" s="447"/>
      <c r="AH235" s="447"/>
    </row>
    <row r="236" spans="33:34" x14ac:dyDescent="0.25">
      <c r="AG236" s="447"/>
      <c r="AH236" s="447"/>
    </row>
    <row r="237" spans="33:34" x14ac:dyDescent="0.25">
      <c r="AG237" s="447"/>
      <c r="AH237" s="447"/>
    </row>
    <row r="238" spans="33:34" x14ac:dyDescent="0.25">
      <c r="AG238" s="447"/>
      <c r="AH238" s="447"/>
    </row>
    <row r="239" spans="33:34" x14ac:dyDescent="0.25">
      <c r="AG239" s="447"/>
      <c r="AH239" s="447"/>
    </row>
    <row r="240" spans="33:34" x14ac:dyDescent="0.25">
      <c r="AG240" s="447"/>
      <c r="AH240" s="447"/>
    </row>
    <row r="241" spans="33:34" x14ac:dyDescent="0.25">
      <c r="AG241" s="447"/>
      <c r="AH241" s="447"/>
    </row>
    <row r="242" spans="33:34" x14ac:dyDescent="0.25">
      <c r="AG242" s="447"/>
      <c r="AH242" s="447"/>
    </row>
    <row r="243" spans="33:34" x14ac:dyDescent="0.25">
      <c r="AG243" s="447"/>
      <c r="AH243" s="447"/>
    </row>
    <row r="244" spans="33:34" x14ac:dyDescent="0.25">
      <c r="AG244" s="447"/>
      <c r="AH244" s="447"/>
    </row>
    <row r="245" spans="33:34" x14ac:dyDescent="0.25">
      <c r="AG245" s="447"/>
      <c r="AH245" s="447"/>
    </row>
    <row r="246" spans="33:34" x14ac:dyDescent="0.25">
      <c r="AG246" s="447"/>
      <c r="AH246" s="447"/>
    </row>
    <row r="247" spans="33:34" x14ac:dyDescent="0.25">
      <c r="AG247" s="447"/>
      <c r="AH247" s="447"/>
    </row>
    <row r="248" spans="33:34" x14ac:dyDescent="0.25">
      <c r="AG248" s="447"/>
      <c r="AH248" s="447"/>
    </row>
    <row r="249" spans="33:34" x14ac:dyDescent="0.25">
      <c r="AG249" s="447"/>
      <c r="AH249" s="447"/>
    </row>
    <row r="250" spans="33:34" x14ac:dyDescent="0.25">
      <c r="AG250" s="447"/>
      <c r="AH250" s="447"/>
    </row>
    <row r="251" spans="33:34" x14ac:dyDescent="0.25">
      <c r="AG251" s="447"/>
      <c r="AH251" s="447"/>
    </row>
    <row r="252" spans="33:34" x14ac:dyDescent="0.25">
      <c r="AG252" s="447"/>
      <c r="AH252" s="447"/>
    </row>
    <row r="253" spans="33:34" x14ac:dyDescent="0.25">
      <c r="AG253" s="447"/>
      <c r="AH253" s="447"/>
    </row>
    <row r="254" spans="33:34" x14ac:dyDescent="0.25">
      <c r="AG254" s="447"/>
      <c r="AH254" s="447"/>
    </row>
    <row r="255" spans="33:34" x14ac:dyDescent="0.25">
      <c r="AG255" s="447"/>
      <c r="AH255" s="447"/>
    </row>
    <row r="256" spans="33:34" x14ac:dyDescent="0.25">
      <c r="AG256" s="447"/>
      <c r="AH256" s="447"/>
    </row>
    <row r="257" spans="33:34" x14ac:dyDescent="0.25">
      <c r="AG257" s="447"/>
      <c r="AH257" s="447"/>
    </row>
    <row r="258" spans="33:34" x14ac:dyDescent="0.25">
      <c r="AG258" s="447"/>
      <c r="AH258" s="447"/>
    </row>
    <row r="259" spans="33:34" x14ac:dyDescent="0.25">
      <c r="AG259" s="447"/>
      <c r="AH259" s="447"/>
    </row>
    <row r="260" spans="33:34" x14ac:dyDescent="0.25">
      <c r="AG260" s="447"/>
      <c r="AH260" s="447"/>
    </row>
    <row r="261" spans="33:34" x14ac:dyDescent="0.25">
      <c r="AG261" s="447"/>
      <c r="AH261" s="447"/>
    </row>
    <row r="262" spans="33:34" x14ac:dyDescent="0.25">
      <c r="AG262" s="447"/>
      <c r="AH262" s="447"/>
    </row>
    <row r="263" spans="33:34" x14ac:dyDescent="0.25">
      <c r="AG263" s="447"/>
      <c r="AH263" s="447"/>
    </row>
    <row r="264" spans="33:34" x14ac:dyDescent="0.25">
      <c r="AG264" s="447"/>
      <c r="AH264" s="447"/>
    </row>
    <row r="265" spans="33:34" x14ac:dyDescent="0.25">
      <c r="AG265" s="447"/>
      <c r="AH265" s="447"/>
    </row>
    <row r="266" spans="33:34" x14ac:dyDescent="0.25">
      <c r="AG266" s="447"/>
      <c r="AH266" s="447"/>
    </row>
    <row r="267" spans="33:34" x14ac:dyDescent="0.25">
      <c r="AG267" s="447"/>
      <c r="AH267" s="447"/>
    </row>
    <row r="268" spans="33:34" x14ac:dyDescent="0.25">
      <c r="AG268" s="447"/>
      <c r="AH268" s="447"/>
    </row>
    <row r="269" spans="33:34" x14ac:dyDescent="0.25">
      <c r="AG269" s="447"/>
      <c r="AH269" s="447"/>
    </row>
    <row r="270" spans="33:34" x14ac:dyDescent="0.25">
      <c r="AG270" s="447"/>
      <c r="AH270" s="447"/>
    </row>
    <row r="271" spans="33:34" x14ac:dyDescent="0.25">
      <c r="AG271" s="447"/>
      <c r="AH271" s="447"/>
    </row>
    <row r="272" spans="33:34" x14ac:dyDescent="0.25">
      <c r="AG272" s="447"/>
      <c r="AH272" s="447"/>
    </row>
    <row r="273" spans="33:34" x14ac:dyDescent="0.25">
      <c r="AG273" s="447"/>
      <c r="AH273" s="447"/>
    </row>
    <row r="274" spans="33:34" x14ac:dyDescent="0.25">
      <c r="AG274" s="447"/>
      <c r="AH274" s="447"/>
    </row>
    <row r="275" spans="33:34" x14ac:dyDescent="0.25">
      <c r="AG275" s="447"/>
      <c r="AH275" s="447"/>
    </row>
    <row r="276" spans="33:34" x14ac:dyDescent="0.25">
      <c r="AG276" s="447"/>
      <c r="AH276" s="447"/>
    </row>
    <row r="277" spans="33:34" x14ac:dyDescent="0.25">
      <c r="AG277" s="447"/>
      <c r="AH277" s="447"/>
    </row>
    <row r="278" spans="33:34" x14ac:dyDescent="0.25">
      <c r="AG278" s="447"/>
      <c r="AH278" s="447"/>
    </row>
    <row r="279" spans="33:34" x14ac:dyDescent="0.25">
      <c r="AG279" s="447"/>
      <c r="AH279" s="447"/>
    </row>
    <row r="280" spans="33:34" x14ac:dyDescent="0.25">
      <c r="AG280" s="447"/>
      <c r="AH280" s="447"/>
    </row>
    <row r="281" spans="33:34" x14ac:dyDescent="0.25">
      <c r="AG281" s="447"/>
      <c r="AH281" s="447"/>
    </row>
    <row r="282" spans="33:34" x14ac:dyDescent="0.25">
      <c r="AG282" s="447"/>
      <c r="AH282" s="447"/>
    </row>
    <row r="283" spans="33:34" x14ac:dyDescent="0.25">
      <c r="AG283" s="447"/>
      <c r="AH283" s="447"/>
    </row>
    <row r="284" spans="33:34" x14ac:dyDescent="0.25">
      <c r="AG284" s="447"/>
      <c r="AH284" s="447"/>
    </row>
    <row r="285" spans="33:34" x14ac:dyDescent="0.25">
      <c r="AG285" s="447"/>
      <c r="AH285" s="447"/>
    </row>
    <row r="286" spans="33:34" x14ac:dyDescent="0.25">
      <c r="AG286" s="447"/>
      <c r="AH286" s="447"/>
    </row>
    <row r="287" spans="33:34" x14ac:dyDescent="0.25">
      <c r="AG287" s="447"/>
      <c r="AH287" s="447"/>
    </row>
    <row r="288" spans="33:34" x14ac:dyDescent="0.25">
      <c r="AG288" s="447"/>
      <c r="AH288" s="447"/>
    </row>
    <row r="289" spans="33:34" x14ac:dyDescent="0.25">
      <c r="AG289" s="447"/>
      <c r="AH289" s="447"/>
    </row>
    <row r="290" spans="33:34" x14ac:dyDescent="0.25">
      <c r="AG290" s="447"/>
      <c r="AH290" s="447"/>
    </row>
    <row r="291" spans="33:34" x14ac:dyDescent="0.25">
      <c r="AG291" s="447"/>
      <c r="AH291" s="447"/>
    </row>
    <row r="292" spans="33:34" x14ac:dyDescent="0.25">
      <c r="AG292" s="447"/>
      <c r="AH292" s="447"/>
    </row>
    <row r="293" spans="33:34" x14ac:dyDescent="0.25">
      <c r="AG293" s="447"/>
      <c r="AH293" s="447"/>
    </row>
    <row r="294" spans="33:34" x14ac:dyDescent="0.25">
      <c r="AG294" s="447"/>
      <c r="AH294" s="447"/>
    </row>
    <row r="295" spans="33:34" x14ac:dyDescent="0.25">
      <c r="AG295" s="447"/>
      <c r="AH295" s="447"/>
    </row>
    <row r="296" spans="33:34" x14ac:dyDescent="0.25">
      <c r="AG296" s="447"/>
      <c r="AH296" s="447"/>
    </row>
    <row r="297" spans="33:34" x14ac:dyDescent="0.25">
      <c r="AG297" s="447"/>
      <c r="AH297" s="447"/>
    </row>
    <row r="298" spans="33:34" x14ac:dyDescent="0.25">
      <c r="AG298" s="447"/>
      <c r="AH298" s="447"/>
    </row>
    <row r="299" spans="33:34" x14ac:dyDescent="0.25">
      <c r="AG299" s="447"/>
      <c r="AH299" s="447"/>
    </row>
    <row r="300" spans="33:34" x14ac:dyDescent="0.25">
      <c r="AG300" s="447"/>
      <c r="AH300" s="447"/>
    </row>
  </sheetData>
  <sheetProtection algorithmName="SHA-512" hashValue="8UHHtENxNaC5weLq7FFCGnSbGpq3LH3hUhjqdRh9Kb55P6TjYw0icrF7+lDb38YvTxiMj0ph/MqGfrRuKyD0Ww==" saltValue="W2VhCMpHE4mgpK0Usg4qjQ==" spinCount="100000" sheet="1" selectLockedCells="1" selectUnlockedCells="1"/>
  <mergeCells count="12">
    <mergeCell ref="B76:AE76"/>
    <mergeCell ref="D5:D6"/>
    <mergeCell ref="F5:F6"/>
    <mergeCell ref="I5:AE5"/>
    <mergeCell ref="B5:B6"/>
    <mergeCell ref="X6:Y6"/>
    <mergeCell ref="Z6:AA6"/>
    <mergeCell ref="AB6:AC6"/>
    <mergeCell ref="AD6:AE6"/>
    <mergeCell ref="C5:C6"/>
    <mergeCell ref="E5:E6"/>
    <mergeCell ref="G5:H6"/>
  </mergeCells>
  <phoneticPr fontId="13" type="noConversion"/>
  <pageMargins left="0.7" right="0.7" top="0.75" bottom="0.75" header="0.3" footer="0.3"/>
  <pageSetup orientation="portrait" horizontalDpi="1200" verticalDpi="1200" r:id="rId1"/>
  <ignoredErrors>
    <ignoredError sqref="Y53:AE53 Y13:AE13 Y19:AE19 Y25:AE25 Y15:AE15 AF15:AF16 AF25:AF26 AF24 AF18 Z74 AB74 AD74 Z14 AB14 AD14 Y21:AE21 Z20 AB20 AD20 Z26 AB26 AD26 Y27:AE27 Y36:AE36 Y43:AE43 Z42 AB42 AD42 Y49:AE49 Y55:AE55 Y62:AE62 Y68:AE68 X15 X19 X25 X27 Y34 Y41:AE41 X41 Y47:AE47 X47 X53 Y60 Y66 Y72 AF19:AF22 AF27:AF28 AF34:AF37 AF41:AF44 AF47:AF50 X21 X36 X43 X49 X55 X62 X68 AA60 AC60 AE60 AA66 AC66 AE66 AA72 AC72 AE72 AA34 AC34 AE34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79998168889431442"/>
  </sheetPr>
  <dimension ref="A1:AL501"/>
  <sheetViews>
    <sheetView workbookViewId="0">
      <pane xSplit="3" ySplit="5" topLeftCell="E6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ColWidth="9.140625" defaultRowHeight="15" outlineLevelRow="1" x14ac:dyDescent="0.25"/>
  <cols>
    <col min="1" max="1" width="2.140625" style="15" customWidth="1"/>
    <col min="2" max="2" width="4" style="15" customWidth="1"/>
    <col min="3" max="3" width="9.140625" style="16" customWidth="1"/>
    <col min="4" max="4" width="10.7109375" style="297" bestFit="1" customWidth="1"/>
    <col min="5" max="5" width="80.7109375" style="304" bestFit="1" customWidth="1"/>
    <col min="6" max="6" width="9.85546875" style="285" bestFit="1" customWidth="1"/>
    <col min="7" max="7" width="9.85546875" style="680" bestFit="1" customWidth="1"/>
    <col min="8" max="8" width="11.7109375" style="557" customWidth="1"/>
    <col min="9" max="9" width="2.140625" style="15" customWidth="1"/>
    <col min="10" max="10" width="9" style="632" customWidth="1"/>
    <col min="11" max="22" width="9" style="563" customWidth="1"/>
    <col min="23" max="23" width="11.7109375" style="557" customWidth="1"/>
    <col min="24" max="24" width="8.140625" style="15" customWidth="1"/>
    <col min="25" max="25" width="13.140625" style="291" bestFit="1" customWidth="1"/>
    <col min="26" max="26" width="10.7109375" style="291" bestFit="1" customWidth="1"/>
    <col min="27" max="29" width="9.140625" style="15"/>
    <col min="30" max="30" width="9.85546875" style="15" bestFit="1" customWidth="1"/>
    <col min="31" max="16384" width="9.140625" style="15"/>
  </cols>
  <sheetData>
    <row r="1" spans="1:38" s="1" customFormat="1" ht="21" x14ac:dyDescent="0.35">
      <c r="A1" s="11" t="str">
        <f>'Rev &amp; Enroll'!F5</f>
        <v>Nevada State High School (Henderson)</v>
      </c>
      <c r="B1" s="11"/>
      <c r="C1" s="17"/>
      <c r="D1" s="292"/>
      <c r="E1" s="298"/>
      <c r="F1" s="279"/>
      <c r="G1" s="620"/>
      <c r="H1" s="550"/>
      <c r="I1" s="2"/>
      <c r="J1" s="559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0"/>
      <c r="X1" s="2"/>
      <c r="Y1" s="286"/>
      <c r="Z1" s="287"/>
      <c r="AA1" s="3"/>
      <c r="AB1" s="3"/>
      <c r="AC1" s="3"/>
      <c r="AD1" s="3"/>
      <c r="AE1" s="3"/>
      <c r="AF1" s="3"/>
      <c r="AG1" s="3"/>
      <c r="AH1" s="2"/>
      <c r="AI1" s="2"/>
      <c r="AK1" s="2"/>
      <c r="AL1" s="2"/>
    </row>
    <row r="2" spans="1:38" s="1" customFormat="1" x14ac:dyDescent="0.25">
      <c r="A2" s="12" t="s">
        <v>135</v>
      </c>
      <c r="B2" s="12"/>
      <c r="C2" s="17"/>
      <c r="D2" s="292"/>
      <c r="E2" s="299"/>
      <c r="F2" s="279"/>
      <c r="G2" s="620"/>
      <c r="H2" s="550"/>
      <c r="I2" s="2"/>
      <c r="J2" s="624"/>
      <c r="K2" s="621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0"/>
      <c r="X2" s="2"/>
      <c r="Y2" s="286"/>
      <c r="Z2" s="286"/>
      <c r="AA2" s="2"/>
      <c r="AB2" s="2"/>
      <c r="AE2" s="2"/>
      <c r="AF2" s="2"/>
      <c r="AH2" s="4"/>
      <c r="AI2" s="4"/>
      <c r="AK2" s="4"/>
      <c r="AL2" s="4"/>
    </row>
    <row r="3" spans="1:38" s="6" customFormat="1" ht="13.5" customHeight="1" x14ac:dyDescent="0.2">
      <c r="A3" s="5" t="str">
        <f>'FY21'!A3</f>
        <v>Board Approved: Proposed: 4/16/2020</v>
      </c>
      <c r="B3" s="5"/>
      <c r="C3" s="17"/>
      <c r="D3" s="293"/>
      <c r="E3" s="300"/>
      <c r="F3" s="280"/>
      <c r="G3" s="676"/>
      <c r="H3" s="551"/>
      <c r="I3" s="7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1"/>
      <c r="X3" s="7"/>
      <c r="Y3" s="288"/>
      <c r="Z3" s="288"/>
      <c r="AA3" s="7"/>
      <c r="AB3" s="7"/>
      <c r="AC3" s="7"/>
      <c r="AD3" s="7"/>
      <c r="AE3" s="2"/>
      <c r="AF3" s="7"/>
      <c r="AG3" s="8"/>
      <c r="AH3" s="7"/>
      <c r="AI3" s="7"/>
      <c r="AK3" s="7"/>
      <c r="AL3" s="7"/>
    </row>
    <row r="4" spans="1:38" s="63" customFormat="1" ht="12" x14ac:dyDescent="0.2">
      <c r="C4" s="64"/>
      <c r="D4" s="294"/>
      <c r="E4" s="301"/>
      <c r="F4" s="720" t="s">
        <v>540</v>
      </c>
      <c r="G4" s="721"/>
      <c r="H4" s="722"/>
      <c r="J4" s="64"/>
      <c r="K4" s="717" t="s">
        <v>539</v>
      </c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9"/>
      <c r="W4" s="552"/>
      <c r="Y4" s="289"/>
      <c r="Z4" s="289"/>
    </row>
    <row r="5" spans="1:38" s="63" customFormat="1" ht="12" x14ac:dyDescent="0.2">
      <c r="C5" s="65" t="s">
        <v>244</v>
      </c>
      <c r="D5" s="295" t="s">
        <v>291</v>
      </c>
      <c r="E5" s="295" t="s">
        <v>131</v>
      </c>
      <c r="F5" s="282" t="s">
        <v>132</v>
      </c>
      <c r="G5" s="677" t="s">
        <v>133</v>
      </c>
      <c r="H5" s="553" t="s">
        <v>134</v>
      </c>
      <c r="J5" s="561" t="s">
        <v>541</v>
      </c>
      <c r="K5" s="561" t="s">
        <v>155</v>
      </c>
      <c r="L5" s="561" t="s">
        <v>156</v>
      </c>
      <c r="M5" s="561" t="s">
        <v>157</v>
      </c>
      <c r="N5" s="561" t="s">
        <v>158</v>
      </c>
      <c r="O5" s="561" t="s">
        <v>159</v>
      </c>
      <c r="P5" s="561" t="s">
        <v>160</v>
      </c>
      <c r="Q5" s="561" t="s">
        <v>161</v>
      </c>
      <c r="R5" s="561" t="s">
        <v>162</v>
      </c>
      <c r="S5" s="561" t="s">
        <v>163</v>
      </c>
      <c r="T5" s="561" t="s">
        <v>164</v>
      </c>
      <c r="U5" s="561" t="s">
        <v>165</v>
      </c>
      <c r="V5" s="561" t="s">
        <v>166</v>
      </c>
      <c r="W5" s="553" t="s">
        <v>134</v>
      </c>
      <c r="Y5" s="290" t="s">
        <v>251</v>
      </c>
      <c r="Z5" s="290" t="s">
        <v>254</v>
      </c>
    </row>
    <row r="6" spans="1:38" s="63" customFormat="1" ht="12" x14ac:dyDescent="0.2">
      <c r="C6" s="66" t="s">
        <v>9</v>
      </c>
      <c r="D6" s="294"/>
      <c r="E6" s="301"/>
      <c r="F6" s="281"/>
      <c r="G6" s="678"/>
      <c r="H6" s="552"/>
      <c r="J6" s="622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52"/>
      <c r="Y6" s="289"/>
      <c r="Z6" s="289"/>
    </row>
    <row r="7" spans="1:38" s="63" customFormat="1" ht="12" outlineLevel="1" x14ac:dyDescent="0.2">
      <c r="C7" s="208">
        <v>6300</v>
      </c>
      <c r="D7" s="294"/>
      <c r="E7" s="301" t="s">
        <v>9</v>
      </c>
      <c r="F7" s="281"/>
      <c r="G7" s="678"/>
      <c r="H7" s="552"/>
      <c r="J7" s="622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52"/>
      <c r="Y7" s="289"/>
      <c r="Z7" s="289"/>
    </row>
    <row r="8" spans="1:38" s="63" customFormat="1" ht="12.75" customHeight="1" outlineLevel="1" x14ac:dyDescent="0.2">
      <c r="C8" s="64"/>
      <c r="D8" s="567" t="s">
        <v>259</v>
      </c>
      <c r="E8" s="568" t="s">
        <v>602</v>
      </c>
      <c r="F8" s="569">
        <f>'Rev &amp; Enroll'!F24*5%</f>
        <v>13.5</v>
      </c>
      <c r="G8" s="616">
        <v>60</v>
      </c>
      <c r="H8" s="618">
        <f>IF(J8="NO", F8*G8,SUM(J8:V8))</f>
        <v>810</v>
      </c>
      <c r="J8" s="625" t="s">
        <v>542</v>
      </c>
      <c r="K8" s="611">
        <f t="shared" ref="K8:V10" si="0">$F8*$G8/12</f>
        <v>67.5</v>
      </c>
      <c r="L8" s="611">
        <f t="shared" si="0"/>
        <v>67.5</v>
      </c>
      <c r="M8" s="611">
        <f t="shared" si="0"/>
        <v>67.5</v>
      </c>
      <c r="N8" s="611">
        <f t="shared" si="0"/>
        <v>67.5</v>
      </c>
      <c r="O8" s="611">
        <f t="shared" si="0"/>
        <v>67.5</v>
      </c>
      <c r="P8" s="611">
        <f t="shared" si="0"/>
        <v>67.5</v>
      </c>
      <c r="Q8" s="611">
        <f t="shared" si="0"/>
        <v>67.5</v>
      </c>
      <c r="R8" s="611">
        <f t="shared" si="0"/>
        <v>67.5</v>
      </c>
      <c r="S8" s="611">
        <f t="shared" si="0"/>
        <v>67.5</v>
      </c>
      <c r="T8" s="611">
        <f t="shared" si="0"/>
        <v>67.5</v>
      </c>
      <c r="U8" s="611">
        <f t="shared" si="0"/>
        <v>67.5</v>
      </c>
      <c r="V8" s="611">
        <f t="shared" si="0"/>
        <v>67.5</v>
      </c>
      <c r="W8" s="618">
        <f>SUM(K8:V8)</f>
        <v>810</v>
      </c>
      <c r="Y8" s="289"/>
      <c r="Z8" s="289"/>
    </row>
    <row r="9" spans="1:38" s="63" customFormat="1" ht="12" outlineLevel="1" x14ac:dyDescent="0.2">
      <c r="C9" s="64"/>
      <c r="D9" s="564" t="s">
        <v>268</v>
      </c>
      <c r="E9" s="565" t="s">
        <v>531</v>
      </c>
      <c r="F9" s="566">
        <v>5</v>
      </c>
      <c r="G9" s="612">
        <v>300</v>
      </c>
      <c r="H9" s="618">
        <f>IF(J9="NO", F9*G9,SUM(J9:V9))</f>
        <v>1500</v>
      </c>
      <c r="J9" s="626" t="s">
        <v>542</v>
      </c>
      <c r="K9" s="612">
        <f t="shared" si="0"/>
        <v>125</v>
      </c>
      <c r="L9" s="612">
        <f t="shared" si="0"/>
        <v>125</v>
      </c>
      <c r="M9" s="612">
        <f t="shared" si="0"/>
        <v>125</v>
      </c>
      <c r="N9" s="612">
        <f t="shared" si="0"/>
        <v>125</v>
      </c>
      <c r="O9" s="612">
        <f t="shared" si="0"/>
        <v>125</v>
      </c>
      <c r="P9" s="612">
        <f t="shared" si="0"/>
        <v>125</v>
      </c>
      <c r="Q9" s="612">
        <f t="shared" si="0"/>
        <v>125</v>
      </c>
      <c r="R9" s="612">
        <f t="shared" si="0"/>
        <v>125</v>
      </c>
      <c r="S9" s="612">
        <f t="shared" si="0"/>
        <v>125</v>
      </c>
      <c r="T9" s="612">
        <f t="shared" si="0"/>
        <v>125</v>
      </c>
      <c r="U9" s="612">
        <f t="shared" si="0"/>
        <v>125</v>
      </c>
      <c r="V9" s="612">
        <f t="shared" si="0"/>
        <v>125</v>
      </c>
      <c r="W9" s="618">
        <f>SUM(K9:V9)</f>
        <v>1500</v>
      </c>
      <c r="Y9" s="289"/>
      <c r="Z9" s="289"/>
    </row>
    <row r="10" spans="1:38" s="63" customFormat="1" ht="12" outlineLevel="1" x14ac:dyDescent="0.2">
      <c r="C10" s="64"/>
      <c r="D10" s="564" t="s">
        <v>258</v>
      </c>
      <c r="E10" s="565"/>
      <c r="F10" s="566">
        <v>0</v>
      </c>
      <c r="G10" s="612">
        <v>0</v>
      </c>
      <c r="H10" s="618">
        <f>IF(J10="NO", F10*G10,SUM(J10:V10))</f>
        <v>0</v>
      </c>
      <c r="J10" s="626" t="s">
        <v>542</v>
      </c>
      <c r="K10" s="612">
        <f t="shared" si="0"/>
        <v>0</v>
      </c>
      <c r="L10" s="612">
        <f t="shared" si="0"/>
        <v>0</v>
      </c>
      <c r="M10" s="612">
        <f t="shared" si="0"/>
        <v>0</v>
      </c>
      <c r="N10" s="612">
        <f t="shared" si="0"/>
        <v>0</v>
      </c>
      <c r="O10" s="612">
        <f t="shared" si="0"/>
        <v>0</v>
      </c>
      <c r="P10" s="612">
        <f t="shared" si="0"/>
        <v>0</v>
      </c>
      <c r="Q10" s="612">
        <f t="shared" si="0"/>
        <v>0</v>
      </c>
      <c r="R10" s="612">
        <f t="shared" si="0"/>
        <v>0</v>
      </c>
      <c r="S10" s="612">
        <f t="shared" si="0"/>
        <v>0</v>
      </c>
      <c r="T10" s="612">
        <f t="shared" si="0"/>
        <v>0</v>
      </c>
      <c r="U10" s="612">
        <f t="shared" si="0"/>
        <v>0</v>
      </c>
      <c r="V10" s="612">
        <f t="shared" si="0"/>
        <v>0</v>
      </c>
      <c r="W10" s="618">
        <f>SUM(K10:V10)</f>
        <v>0</v>
      </c>
      <c r="Y10" s="289"/>
      <c r="Z10" s="289"/>
    </row>
    <row r="11" spans="1:38" s="63" customFormat="1" ht="3.6" customHeight="1" outlineLevel="1" thickBot="1" x14ac:dyDescent="0.25">
      <c r="C11" s="64"/>
      <c r="D11" s="296"/>
      <c r="E11" s="302"/>
      <c r="F11" s="283"/>
      <c r="G11" s="619"/>
      <c r="H11" s="619"/>
      <c r="J11" s="627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619"/>
      <c r="Y11" s="289"/>
      <c r="Z11" s="289"/>
    </row>
    <row r="12" spans="1:38" s="63" customFormat="1" ht="12.75" thickBot="1" x14ac:dyDescent="0.25">
      <c r="C12" s="64"/>
      <c r="D12" s="294"/>
      <c r="E12" s="301"/>
      <c r="F12" s="284" t="str">
        <f>E7</f>
        <v>Purchased Professional and Technical Services</v>
      </c>
      <c r="G12" s="679">
        <f>C7</f>
        <v>6300</v>
      </c>
      <c r="H12" s="617">
        <f>SUBTOTAL(9,H8:H11)</f>
        <v>2310</v>
      </c>
      <c r="J12" s="628"/>
      <c r="K12" s="617">
        <f t="shared" ref="K12:W12" si="1">SUBTOTAL(9,K8:K11)</f>
        <v>192.5</v>
      </c>
      <c r="L12" s="617">
        <f t="shared" si="1"/>
        <v>192.5</v>
      </c>
      <c r="M12" s="617">
        <f t="shared" si="1"/>
        <v>192.5</v>
      </c>
      <c r="N12" s="617">
        <f t="shared" si="1"/>
        <v>192.5</v>
      </c>
      <c r="O12" s="617">
        <f t="shared" si="1"/>
        <v>192.5</v>
      </c>
      <c r="P12" s="617">
        <f t="shared" si="1"/>
        <v>192.5</v>
      </c>
      <c r="Q12" s="617">
        <f t="shared" si="1"/>
        <v>192.5</v>
      </c>
      <c r="R12" s="617">
        <f t="shared" si="1"/>
        <v>192.5</v>
      </c>
      <c r="S12" s="617">
        <f t="shared" si="1"/>
        <v>192.5</v>
      </c>
      <c r="T12" s="617">
        <f t="shared" si="1"/>
        <v>192.5</v>
      </c>
      <c r="U12" s="617">
        <f t="shared" si="1"/>
        <v>192.5</v>
      </c>
      <c r="V12" s="617">
        <f t="shared" si="1"/>
        <v>192.5</v>
      </c>
      <c r="W12" s="617">
        <f t="shared" si="1"/>
        <v>2310</v>
      </c>
      <c r="X12" s="63" t="str">
        <f>IF(H12=W12,"OK","Error")</f>
        <v>OK</v>
      </c>
      <c r="Y12" s="289">
        <v>0</v>
      </c>
      <c r="Z12" s="289">
        <f>H12-Y12</f>
        <v>2310</v>
      </c>
    </row>
    <row r="13" spans="1:38" s="63" customFormat="1" ht="12" outlineLevel="1" x14ac:dyDescent="0.2">
      <c r="C13" s="64"/>
      <c r="D13" s="294"/>
      <c r="E13" s="301"/>
      <c r="F13" s="281"/>
      <c r="G13" s="678"/>
      <c r="H13" s="552"/>
      <c r="J13" s="622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52"/>
      <c r="Y13" s="289"/>
      <c r="Z13" s="289"/>
    </row>
    <row r="14" spans="1:38" s="63" customFormat="1" ht="12" outlineLevel="1" x14ac:dyDescent="0.2">
      <c r="C14" s="208">
        <v>6320</v>
      </c>
      <c r="D14" s="294"/>
      <c r="E14" s="301" t="s">
        <v>10</v>
      </c>
      <c r="F14" s="281"/>
      <c r="G14" s="678"/>
      <c r="H14" s="552"/>
      <c r="J14" s="622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52"/>
      <c r="Y14" s="289"/>
      <c r="Z14" s="289"/>
    </row>
    <row r="15" spans="1:38" s="63" customFormat="1" ht="12.75" customHeight="1" outlineLevel="1" x14ac:dyDescent="0.2">
      <c r="C15" s="64"/>
      <c r="D15" s="567" t="s">
        <v>267</v>
      </c>
      <c r="E15" s="568" t="s">
        <v>603</v>
      </c>
      <c r="F15" s="569">
        <f>'Rev &amp; Enroll'!F27*50%</f>
        <v>2.5</v>
      </c>
      <c r="G15" s="616">
        <v>1000</v>
      </c>
      <c r="H15" s="618">
        <f>IF(J15="NO", F15*G15,SUM(J15:V15))</f>
        <v>2500</v>
      </c>
      <c r="J15" s="625" t="s">
        <v>542</v>
      </c>
      <c r="K15" s="611">
        <f t="shared" ref="K15:V17" si="2">$F15*$G15/12</f>
        <v>208.33333333333334</v>
      </c>
      <c r="L15" s="611">
        <f t="shared" si="2"/>
        <v>208.33333333333334</v>
      </c>
      <c r="M15" s="611">
        <f t="shared" si="2"/>
        <v>208.33333333333334</v>
      </c>
      <c r="N15" s="611">
        <f t="shared" si="2"/>
        <v>208.33333333333334</v>
      </c>
      <c r="O15" s="611">
        <f t="shared" si="2"/>
        <v>208.33333333333334</v>
      </c>
      <c r="P15" s="611">
        <f t="shared" si="2"/>
        <v>208.33333333333334</v>
      </c>
      <c r="Q15" s="611">
        <f t="shared" si="2"/>
        <v>208.33333333333334</v>
      </c>
      <c r="R15" s="611">
        <f t="shared" si="2"/>
        <v>208.33333333333334</v>
      </c>
      <c r="S15" s="611">
        <f t="shared" si="2"/>
        <v>208.33333333333334</v>
      </c>
      <c r="T15" s="611">
        <f t="shared" si="2"/>
        <v>208.33333333333334</v>
      </c>
      <c r="U15" s="611">
        <f t="shared" si="2"/>
        <v>208.33333333333334</v>
      </c>
      <c r="V15" s="611">
        <f t="shared" si="2"/>
        <v>208.33333333333334</v>
      </c>
      <c r="W15" s="618">
        <f>SUM(K15:V15)</f>
        <v>2500</v>
      </c>
      <c r="Y15" s="289"/>
      <c r="Z15" s="289"/>
    </row>
    <row r="16" spans="1:38" s="63" customFormat="1" ht="12" outlineLevel="1" x14ac:dyDescent="0.2">
      <c r="C16" s="208"/>
      <c r="D16" s="564" t="s">
        <v>258</v>
      </c>
      <c r="E16" s="565" t="s">
        <v>513</v>
      </c>
      <c r="F16" s="566">
        <v>0</v>
      </c>
      <c r="G16" s="612">
        <v>0</v>
      </c>
      <c r="H16" s="618">
        <f>IF(J16="NO", F16*G16,SUM(J16:V16))</f>
        <v>0</v>
      </c>
      <c r="J16" s="626" t="s">
        <v>542</v>
      </c>
      <c r="K16" s="612">
        <f t="shared" si="2"/>
        <v>0</v>
      </c>
      <c r="L16" s="612">
        <f t="shared" si="2"/>
        <v>0</v>
      </c>
      <c r="M16" s="612">
        <f t="shared" si="2"/>
        <v>0</v>
      </c>
      <c r="N16" s="612">
        <f t="shared" si="2"/>
        <v>0</v>
      </c>
      <c r="O16" s="612">
        <f t="shared" si="2"/>
        <v>0</v>
      </c>
      <c r="P16" s="612">
        <f t="shared" si="2"/>
        <v>0</v>
      </c>
      <c r="Q16" s="612">
        <f t="shared" si="2"/>
        <v>0</v>
      </c>
      <c r="R16" s="612">
        <f t="shared" si="2"/>
        <v>0</v>
      </c>
      <c r="S16" s="612">
        <f t="shared" si="2"/>
        <v>0</v>
      </c>
      <c r="T16" s="612">
        <f t="shared" si="2"/>
        <v>0</v>
      </c>
      <c r="U16" s="612">
        <f t="shared" si="2"/>
        <v>0</v>
      </c>
      <c r="V16" s="612">
        <f t="shared" si="2"/>
        <v>0</v>
      </c>
      <c r="W16" s="618">
        <f>SUM(K16:V16)</f>
        <v>0</v>
      </c>
      <c r="Y16" s="289"/>
      <c r="Z16" s="289"/>
    </row>
    <row r="17" spans="3:26" s="63" customFormat="1" ht="12" outlineLevel="1" x14ac:dyDescent="0.2">
      <c r="C17" s="208"/>
      <c r="D17" s="564" t="s">
        <v>258</v>
      </c>
      <c r="E17" s="565"/>
      <c r="F17" s="566">
        <v>0</v>
      </c>
      <c r="G17" s="612">
        <v>0</v>
      </c>
      <c r="H17" s="618">
        <f>IF(J17="NO", F17*G17,SUM(J17:V17))</f>
        <v>0</v>
      </c>
      <c r="J17" s="626" t="s">
        <v>542</v>
      </c>
      <c r="K17" s="612">
        <f t="shared" si="2"/>
        <v>0</v>
      </c>
      <c r="L17" s="612">
        <f t="shared" si="2"/>
        <v>0</v>
      </c>
      <c r="M17" s="612">
        <f t="shared" si="2"/>
        <v>0</v>
      </c>
      <c r="N17" s="612">
        <f t="shared" si="2"/>
        <v>0</v>
      </c>
      <c r="O17" s="612">
        <f t="shared" si="2"/>
        <v>0</v>
      </c>
      <c r="P17" s="612">
        <f t="shared" si="2"/>
        <v>0</v>
      </c>
      <c r="Q17" s="612">
        <f t="shared" si="2"/>
        <v>0</v>
      </c>
      <c r="R17" s="612">
        <f t="shared" si="2"/>
        <v>0</v>
      </c>
      <c r="S17" s="612">
        <f t="shared" si="2"/>
        <v>0</v>
      </c>
      <c r="T17" s="612">
        <f t="shared" si="2"/>
        <v>0</v>
      </c>
      <c r="U17" s="612">
        <f t="shared" si="2"/>
        <v>0</v>
      </c>
      <c r="V17" s="612">
        <f t="shared" si="2"/>
        <v>0</v>
      </c>
      <c r="W17" s="618">
        <f>SUM(K17:V17)</f>
        <v>0</v>
      </c>
      <c r="Y17" s="289"/>
      <c r="Z17" s="289"/>
    </row>
    <row r="18" spans="3:26" s="63" customFormat="1" ht="3.6" customHeight="1" outlineLevel="1" thickBot="1" x14ac:dyDescent="0.25">
      <c r="C18" s="64"/>
      <c r="D18" s="296"/>
      <c r="E18" s="302"/>
      <c r="F18" s="283"/>
      <c r="G18" s="619"/>
      <c r="H18" s="555"/>
      <c r="J18" s="627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55"/>
      <c r="Y18" s="289"/>
      <c r="Z18" s="289"/>
    </row>
    <row r="19" spans="3:26" s="63" customFormat="1" ht="12.75" thickBot="1" x14ac:dyDescent="0.25">
      <c r="C19" s="64"/>
      <c r="D19" s="294"/>
      <c r="E19" s="301"/>
      <c r="F19" s="284" t="str">
        <f>E14</f>
        <v>Professional Educational Services</v>
      </c>
      <c r="G19" s="679">
        <f>C14</f>
        <v>6320</v>
      </c>
      <c r="H19" s="556">
        <f>SUBTOTAL(9,H15:H18)</f>
        <v>2500</v>
      </c>
      <c r="J19" s="629"/>
      <c r="K19" s="623">
        <f t="shared" ref="K19:W19" si="3">SUBTOTAL(9,K15:K18)</f>
        <v>208.33333333333334</v>
      </c>
      <c r="L19" s="623">
        <f t="shared" si="3"/>
        <v>208.33333333333334</v>
      </c>
      <c r="M19" s="623">
        <f t="shared" si="3"/>
        <v>208.33333333333334</v>
      </c>
      <c r="N19" s="623">
        <f t="shared" si="3"/>
        <v>208.33333333333334</v>
      </c>
      <c r="O19" s="623">
        <f t="shared" si="3"/>
        <v>208.33333333333334</v>
      </c>
      <c r="P19" s="623">
        <f t="shared" si="3"/>
        <v>208.33333333333334</v>
      </c>
      <c r="Q19" s="623">
        <f t="shared" si="3"/>
        <v>208.33333333333334</v>
      </c>
      <c r="R19" s="623">
        <f t="shared" si="3"/>
        <v>208.33333333333334</v>
      </c>
      <c r="S19" s="623">
        <f t="shared" si="3"/>
        <v>208.33333333333334</v>
      </c>
      <c r="T19" s="623">
        <f t="shared" si="3"/>
        <v>208.33333333333334</v>
      </c>
      <c r="U19" s="623">
        <f t="shared" si="3"/>
        <v>208.33333333333334</v>
      </c>
      <c r="V19" s="623">
        <f t="shared" si="3"/>
        <v>208.33333333333334</v>
      </c>
      <c r="W19" s="556">
        <f t="shared" si="3"/>
        <v>2500</v>
      </c>
      <c r="X19" s="63" t="str">
        <f>IF(H19=W19,"OK","Error")</f>
        <v>OK</v>
      </c>
      <c r="Y19" s="289">
        <v>0</v>
      </c>
      <c r="Z19" s="289">
        <f>H19-Y19</f>
        <v>2500</v>
      </c>
    </row>
    <row r="20" spans="3:26" s="63" customFormat="1" ht="12" outlineLevel="1" x14ac:dyDescent="0.2">
      <c r="C20" s="64"/>
      <c r="D20" s="294"/>
      <c r="E20" s="301"/>
      <c r="F20" s="281"/>
      <c r="G20" s="678"/>
      <c r="H20" s="552"/>
      <c r="J20" s="622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52"/>
      <c r="Y20" s="289"/>
      <c r="Z20" s="289"/>
    </row>
    <row r="21" spans="3:26" s="63" customFormat="1" ht="12" outlineLevel="1" x14ac:dyDescent="0.2">
      <c r="C21" s="208">
        <v>6331</v>
      </c>
      <c r="D21" s="294"/>
      <c r="E21" s="301" t="s">
        <v>11</v>
      </c>
      <c r="F21" s="281"/>
      <c r="G21" s="678"/>
      <c r="H21" s="552"/>
      <c r="J21" s="622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52"/>
      <c r="Y21" s="289"/>
      <c r="Z21" s="289"/>
    </row>
    <row r="22" spans="3:26" s="63" customFormat="1" ht="12.75" customHeight="1" outlineLevel="1" x14ac:dyDescent="0.2">
      <c r="C22" s="64"/>
      <c r="D22" s="567" t="s">
        <v>259</v>
      </c>
      <c r="E22" s="568" t="s">
        <v>604</v>
      </c>
      <c r="F22" s="569">
        <v>2</v>
      </c>
      <c r="G22" s="616">
        <v>500</v>
      </c>
      <c r="H22" s="618">
        <f>IF(J22="NO", F22*G22,SUM(J22:V22))</f>
        <v>1000</v>
      </c>
      <c r="J22" s="625" t="s">
        <v>542</v>
      </c>
      <c r="K22" s="611">
        <f t="shared" ref="K22:V24" si="4">$F22*$G22/12</f>
        <v>83.333333333333329</v>
      </c>
      <c r="L22" s="611">
        <f t="shared" si="4"/>
        <v>83.333333333333329</v>
      </c>
      <c r="M22" s="611">
        <f t="shared" si="4"/>
        <v>83.333333333333329</v>
      </c>
      <c r="N22" s="611">
        <f t="shared" si="4"/>
        <v>83.333333333333329</v>
      </c>
      <c r="O22" s="611">
        <f t="shared" si="4"/>
        <v>83.333333333333329</v>
      </c>
      <c r="P22" s="611">
        <f t="shared" si="4"/>
        <v>83.333333333333329</v>
      </c>
      <c r="Q22" s="611">
        <f t="shared" si="4"/>
        <v>83.333333333333329</v>
      </c>
      <c r="R22" s="611">
        <f t="shared" si="4"/>
        <v>83.333333333333329</v>
      </c>
      <c r="S22" s="611">
        <f t="shared" si="4"/>
        <v>83.333333333333329</v>
      </c>
      <c r="T22" s="611">
        <f t="shared" si="4"/>
        <v>83.333333333333329</v>
      </c>
      <c r="U22" s="611">
        <f t="shared" si="4"/>
        <v>83.333333333333329</v>
      </c>
      <c r="V22" s="611">
        <f t="shared" si="4"/>
        <v>83.333333333333329</v>
      </c>
      <c r="W22" s="618">
        <f>SUM(K22:V22)</f>
        <v>1000.0000000000001</v>
      </c>
      <c r="Y22" s="289"/>
      <c r="Z22" s="289"/>
    </row>
    <row r="23" spans="3:26" s="63" customFormat="1" ht="12" outlineLevel="1" x14ac:dyDescent="0.2">
      <c r="C23" s="64"/>
      <c r="D23" s="564" t="s">
        <v>258</v>
      </c>
      <c r="E23" s="565" t="s">
        <v>514</v>
      </c>
      <c r="F23" s="566">
        <v>0</v>
      </c>
      <c r="G23" s="612">
        <v>0</v>
      </c>
      <c r="H23" s="618">
        <f>IF(J23="NO", F23*G23,SUM(J23:V23))</f>
        <v>0</v>
      </c>
      <c r="J23" s="626" t="s">
        <v>542</v>
      </c>
      <c r="K23" s="612">
        <f t="shared" si="4"/>
        <v>0</v>
      </c>
      <c r="L23" s="612">
        <f t="shared" si="4"/>
        <v>0</v>
      </c>
      <c r="M23" s="612">
        <f t="shared" si="4"/>
        <v>0</v>
      </c>
      <c r="N23" s="612">
        <f t="shared" si="4"/>
        <v>0</v>
      </c>
      <c r="O23" s="612">
        <f t="shared" si="4"/>
        <v>0</v>
      </c>
      <c r="P23" s="612">
        <f t="shared" si="4"/>
        <v>0</v>
      </c>
      <c r="Q23" s="612">
        <f t="shared" si="4"/>
        <v>0</v>
      </c>
      <c r="R23" s="612">
        <f t="shared" si="4"/>
        <v>0</v>
      </c>
      <c r="S23" s="612">
        <f t="shared" si="4"/>
        <v>0</v>
      </c>
      <c r="T23" s="612">
        <f t="shared" si="4"/>
        <v>0</v>
      </c>
      <c r="U23" s="612">
        <f t="shared" si="4"/>
        <v>0</v>
      </c>
      <c r="V23" s="612">
        <f t="shared" si="4"/>
        <v>0</v>
      </c>
      <c r="W23" s="618">
        <f>SUM(K23:V23)</f>
        <v>0</v>
      </c>
      <c r="Y23" s="289"/>
      <c r="Z23" s="289"/>
    </row>
    <row r="24" spans="3:26" s="63" customFormat="1" ht="12" outlineLevel="1" x14ac:dyDescent="0.2">
      <c r="C24" s="64"/>
      <c r="D24" s="564" t="s">
        <v>258</v>
      </c>
      <c r="E24" s="565"/>
      <c r="F24" s="566">
        <v>0</v>
      </c>
      <c r="G24" s="612">
        <v>0</v>
      </c>
      <c r="H24" s="618">
        <f>IF(J24="NO", F24*G24,SUM(J24:V24))</f>
        <v>0</v>
      </c>
      <c r="J24" s="626" t="s">
        <v>542</v>
      </c>
      <c r="K24" s="612">
        <f t="shared" si="4"/>
        <v>0</v>
      </c>
      <c r="L24" s="612">
        <f t="shared" si="4"/>
        <v>0</v>
      </c>
      <c r="M24" s="612">
        <f t="shared" si="4"/>
        <v>0</v>
      </c>
      <c r="N24" s="612">
        <f t="shared" si="4"/>
        <v>0</v>
      </c>
      <c r="O24" s="612">
        <f t="shared" si="4"/>
        <v>0</v>
      </c>
      <c r="P24" s="612">
        <f t="shared" si="4"/>
        <v>0</v>
      </c>
      <c r="Q24" s="612">
        <f t="shared" si="4"/>
        <v>0</v>
      </c>
      <c r="R24" s="612">
        <f t="shared" si="4"/>
        <v>0</v>
      </c>
      <c r="S24" s="612">
        <f t="shared" si="4"/>
        <v>0</v>
      </c>
      <c r="T24" s="612">
        <f t="shared" si="4"/>
        <v>0</v>
      </c>
      <c r="U24" s="612">
        <f t="shared" si="4"/>
        <v>0</v>
      </c>
      <c r="V24" s="612">
        <f t="shared" si="4"/>
        <v>0</v>
      </c>
      <c r="W24" s="618">
        <f>SUM(K24:V24)</f>
        <v>0</v>
      </c>
      <c r="Y24" s="289"/>
      <c r="Z24" s="289"/>
    </row>
    <row r="25" spans="3:26" s="63" customFormat="1" ht="3.6" customHeight="1" outlineLevel="1" thickBot="1" x14ac:dyDescent="0.25">
      <c r="C25" s="64"/>
      <c r="D25" s="296"/>
      <c r="E25" s="302"/>
      <c r="F25" s="283"/>
      <c r="G25" s="619"/>
      <c r="H25" s="555"/>
      <c r="J25" s="627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55"/>
      <c r="Y25" s="289"/>
      <c r="Z25" s="289"/>
    </row>
    <row r="26" spans="3:26" s="63" customFormat="1" ht="12.75" thickBot="1" x14ac:dyDescent="0.25">
      <c r="C26" s="64"/>
      <c r="D26" s="294"/>
      <c r="E26" s="301"/>
      <c r="F26" s="284" t="str">
        <f>E21</f>
        <v>Prof-Dev/Instructional Lic. Personnel</v>
      </c>
      <c r="G26" s="679">
        <f>C21</f>
        <v>6331</v>
      </c>
      <c r="H26" s="556">
        <f>SUBTOTAL(9,H22:H25)</f>
        <v>1000</v>
      </c>
      <c r="J26" s="629"/>
      <c r="K26" s="623">
        <f t="shared" ref="K26:W26" si="5">SUBTOTAL(9,K22:K25)</f>
        <v>83.333333333333329</v>
      </c>
      <c r="L26" s="623">
        <f t="shared" si="5"/>
        <v>83.333333333333329</v>
      </c>
      <c r="M26" s="623">
        <f t="shared" si="5"/>
        <v>83.333333333333329</v>
      </c>
      <c r="N26" s="623">
        <f t="shared" si="5"/>
        <v>83.333333333333329</v>
      </c>
      <c r="O26" s="623">
        <f t="shared" si="5"/>
        <v>83.333333333333329</v>
      </c>
      <c r="P26" s="623">
        <f t="shared" si="5"/>
        <v>83.333333333333329</v>
      </c>
      <c r="Q26" s="623">
        <f t="shared" si="5"/>
        <v>83.333333333333329</v>
      </c>
      <c r="R26" s="623">
        <f t="shared" si="5"/>
        <v>83.333333333333329</v>
      </c>
      <c r="S26" s="623">
        <f t="shared" si="5"/>
        <v>83.333333333333329</v>
      </c>
      <c r="T26" s="623">
        <f t="shared" si="5"/>
        <v>83.333333333333329</v>
      </c>
      <c r="U26" s="623">
        <f t="shared" si="5"/>
        <v>83.333333333333329</v>
      </c>
      <c r="V26" s="623">
        <f t="shared" si="5"/>
        <v>83.333333333333329</v>
      </c>
      <c r="W26" s="556">
        <f t="shared" si="5"/>
        <v>1000.0000000000001</v>
      </c>
      <c r="X26" s="63" t="str">
        <f>IF(H26=W26,"OK","Error")</f>
        <v>OK</v>
      </c>
      <c r="Y26" s="289">
        <v>0</v>
      </c>
      <c r="Z26" s="289">
        <f>H26-Y26</f>
        <v>1000</v>
      </c>
    </row>
    <row r="27" spans="3:26" s="63" customFormat="1" ht="12" outlineLevel="1" x14ac:dyDescent="0.2">
      <c r="C27" s="64"/>
      <c r="D27" s="294"/>
      <c r="E27" s="301"/>
      <c r="F27" s="281"/>
      <c r="G27" s="678"/>
      <c r="H27" s="552"/>
      <c r="J27" s="622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52"/>
      <c r="Y27" s="289"/>
      <c r="Z27" s="289"/>
    </row>
    <row r="28" spans="3:26" s="63" customFormat="1" ht="12" outlineLevel="1" x14ac:dyDescent="0.2">
      <c r="C28" s="208">
        <v>6334</v>
      </c>
      <c r="D28" s="294"/>
      <c r="E28" s="301" t="s">
        <v>12</v>
      </c>
      <c r="F28" s="281"/>
      <c r="G28" s="678"/>
      <c r="H28" s="552"/>
      <c r="J28" s="622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52"/>
      <c r="Y28" s="289"/>
      <c r="Z28" s="289"/>
    </row>
    <row r="29" spans="3:26" s="63" customFormat="1" ht="12.75" customHeight="1" outlineLevel="1" x14ac:dyDescent="0.2">
      <c r="C29" s="64"/>
      <c r="D29" s="567" t="s">
        <v>267</v>
      </c>
      <c r="E29" s="568" t="s">
        <v>343</v>
      </c>
      <c r="F29" s="681">
        <v>0.75</v>
      </c>
      <c r="G29" s="616">
        <v>1000</v>
      </c>
      <c r="H29" s="618">
        <f>IF(J29="NO", F29*G29,SUM(J29:V29))</f>
        <v>750</v>
      </c>
      <c r="J29" s="625" t="s">
        <v>542</v>
      </c>
      <c r="K29" s="611">
        <f t="shared" ref="K29:V31" si="6">$F29*$G29/12</f>
        <v>62.5</v>
      </c>
      <c r="L29" s="611">
        <f t="shared" si="6"/>
        <v>62.5</v>
      </c>
      <c r="M29" s="611">
        <f t="shared" si="6"/>
        <v>62.5</v>
      </c>
      <c r="N29" s="611">
        <f t="shared" si="6"/>
        <v>62.5</v>
      </c>
      <c r="O29" s="611">
        <f t="shared" si="6"/>
        <v>62.5</v>
      </c>
      <c r="P29" s="611">
        <f t="shared" si="6"/>
        <v>62.5</v>
      </c>
      <c r="Q29" s="611">
        <f t="shared" si="6"/>
        <v>62.5</v>
      </c>
      <c r="R29" s="611">
        <f t="shared" si="6"/>
        <v>62.5</v>
      </c>
      <c r="S29" s="611">
        <f t="shared" si="6"/>
        <v>62.5</v>
      </c>
      <c r="T29" s="611">
        <f t="shared" si="6"/>
        <v>62.5</v>
      </c>
      <c r="U29" s="611">
        <f t="shared" si="6"/>
        <v>62.5</v>
      </c>
      <c r="V29" s="611">
        <f t="shared" si="6"/>
        <v>62.5</v>
      </c>
      <c r="W29" s="618">
        <f>SUM(K29:V29)</f>
        <v>750</v>
      </c>
      <c r="Y29" s="289"/>
      <c r="Z29" s="289"/>
    </row>
    <row r="30" spans="3:26" s="63" customFormat="1" ht="12" outlineLevel="1" x14ac:dyDescent="0.2">
      <c r="C30" s="64"/>
      <c r="D30" s="564" t="s">
        <v>258</v>
      </c>
      <c r="E30" s="565" t="s">
        <v>514</v>
      </c>
      <c r="F30" s="566">
        <v>0</v>
      </c>
      <c r="G30" s="612">
        <v>0</v>
      </c>
      <c r="H30" s="618">
        <f>IF(J30="NO", F30*G30,SUM(J30:V30))</f>
        <v>0</v>
      </c>
      <c r="J30" s="626" t="s">
        <v>542</v>
      </c>
      <c r="K30" s="612">
        <f t="shared" si="6"/>
        <v>0</v>
      </c>
      <c r="L30" s="612">
        <f t="shared" si="6"/>
        <v>0</v>
      </c>
      <c r="M30" s="612">
        <f t="shared" si="6"/>
        <v>0</v>
      </c>
      <c r="N30" s="612">
        <f t="shared" si="6"/>
        <v>0</v>
      </c>
      <c r="O30" s="612">
        <f t="shared" si="6"/>
        <v>0</v>
      </c>
      <c r="P30" s="612">
        <f t="shared" si="6"/>
        <v>0</v>
      </c>
      <c r="Q30" s="612">
        <f t="shared" si="6"/>
        <v>0</v>
      </c>
      <c r="R30" s="612">
        <f t="shared" si="6"/>
        <v>0</v>
      </c>
      <c r="S30" s="612">
        <f t="shared" si="6"/>
        <v>0</v>
      </c>
      <c r="T30" s="612">
        <f t="shared" si="6"/>
        <v>0</v>
      </c>
      <c r="U30" s="612">
        <f t="shared" si="6"/>
        <v>0</v>
      </c>
      <c r="V30" s="612">
        <f t="shared" si="6"/>
        <v>0</v>
      </c>
      <c r="W30" s="618">
        <f>SUM(K30:V30)</f>
        <v>0</v>
      </c>
      <c r="Y30" s="289"/>
      <c r="Z30" s="289"/>
    </row>
    <row r="31" spans="3:26" s="63" customFormat="1" ht="12" outlineLevel="1" x14ac:dyDescent="0.2">
      <c r="C31" s="64"/>
      <c r="D31" s="564" t="s">
        <v>258</v>
      </c>
      <c r="E31" s="565"/>
      <c r="F31" s="566">
        <v>0</v>
      </c>
      <c r="G31" s="612">
        <v>0</v>
      </c>
      <c r="H31" s="618">
        <f>IF(J31="NO", F31*G31,SUM(J31:V31))</f>
        <v>0</v>
      </c>
      <c r="J31" s="626" t="s">
        <v>542</v>
      </c>
      <c r="K31" s="612">
        <f t="shared" si="6"/>
        <v>0</v>
      </c>
      <c r="L31" s="612">
        <f t="shared" si="6"/>
        <v>0</v>
      </c>
      <c r="M31" s="612">
        <f t="shared" si="6"/>
        <v>0</v>
      </c>
      <c r="N31" s="612">
        <f t="shared" si="6"/>
        <v>0</v>
      </c>
      <c r="O31" s="612">
        <f t="shared" si="6"/>
        <v>0</v>
      </c>
      <c r="P31" s="612">
        <f t="shared" si="6"/>
        <v>0</v>
      </c>
      <c r="Q31" s="612">
        <f t="shared" si="6"/>
        <v>0</v>
      </c>
      <c r="R31" s="612">
        <f t="shared" si="6"/>
        <v>0</v>
      </c>
      <c r="S31" s="612">
        <f t="shared" si="6"/>
        <v>0</v>
      </c>
      <c r="T31" s="612">
        <f t="shared" si="6"/>
        <v>0</v>
      </c>
      <c r="U31" s="612">
        <f t="shared" si="6"/>
        <v>0</v>
      </c>
      <c r="V31" s="612">
        <f t="shared" si="6"/>
        <v>0</v>
      </c>
      <c r="W31" s="618">
        <f>SUM(K31:V31)</f>
        <v>0</v>
      </c>
      <c r="Y31" s="289"/>
      <c r="Z31" s="289"/>
    </row>
    <row r="32" spans="3:26" s="63" customFormat="1" ht="3.6" customHeight="1" outlineLevel="1" thickBot="1" x14ac:dyDescent="0.25">
      <c r="C32" s="64"/>
      <c r="D32" s="296"/>
      <c r="E32" s="302"/>
      <c r="F32" s="283"/>
      <c r="G32" s="619"/>
      <c r="H32" s="555"/>
      <c r="J32" s="627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55"/>
      <c r="Y32" s="289"/>
      <c r="Z32" s="289"/>
    </row>
    <row r="33" spans="3:26" s="63" customFormat="1" ht="12.75" thickBot="1" x14ac:dyDescent="0.25">
      <c r="C33" s="64"/>
      <c r="D33" s="294"/>
      <c r="E33" s="301"/>
      <c r="F33" s="284" t="str">
        <f>E28</f>
        <v>Prof-Dev/Administrative Lic. Personnel</v>
      </c>
      <c r="G33" s="679">
        <f>C28</f>
        <v>6334</v>
      </c>
      <c r="H33" s="556">
        <f>SUBTOTAL(9,H29:H32)</f>
        <v>750</v>
      </c>
      <c r="J33" s="629"/>
      <c r="K33" s="623">
        <f t="shared" ref="K33:W33" si="7">SUBTOTAL(9,K29:K32)</f>
        <v>62.5</v>
      </c>
      <c r="L33" s="623">
        <f t="shared" si="7"/>
        <v>62.5</v>
      </c>
      <c r="M33" s="623">
        <f t="shared" si="7"/>
        <v>62.5</v>
      </c>
      <c r="N33" s="623">
        <f t="shared" si="7"/>
        <v>62.5</v>
      </c>
      <c r="O33" s="623">
        <f t="shared" si="7"/>
        <v>62.5</v>
      </c>
      <c r="P33" s="623">
        <f t="shared" si="7"/>
        <v>62.5</v>
      </c>
      <c r="Q33" s="623">
        <f t="shared" si="7"/>
        <v>62.5</v>
      </c>
      <c r="R33" s="623">
        <f t="shared" si="7"/>
        <v>62.5</v>
      </c>
      <c r="S33" s="623">
        <f t="shared" si="7"/>
        <v>62.5</v>
      </c>
      <c r="T33" s="623">
        <f t="shared" si="7"/>
        <v>62.5</v>
      </c>
      <c r="U33" s="623">
        <f t="shared" si="7"/>
        <v>62.5</v>
      </c>
      <c r="V33" s="623">
        <f t="shared" si="7"/>
        <v>62.5</v>
      </c>
      <c r="W33" s="556">
        <f t="shared" si="7"/>
        <v>750</v>
      </c>
      <c r="X33" s="63" t="str">
        <f>IF(H33=W33,"OK","Error")</f>
        <v>OK</v>
      </c>
      <c r="Y33" s="289">
        <v>0</v>
      </c>
      <c r="Z33" s="289">
        <f>H33-Y33</f>
        <v>750</v>
      </c>
    </row>
    <row r="34" spans="3:26" s="63" customFormat="1" ht="12" outlineLevel="1" x14ac:dyDescent="0.2">
      <c r="C34" s="64"/>
      <c r="D34" s="294"/>
      <c r="E34" s="301"/>
      <c r="F34" s="281"/>
      <c r="G34" s="678"/>
      <c r="H34" s="552"/>
      <c r="J34" s="622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52"/>
      <c r="Y34" s="289"/>
      <c r="Z34" s="289"/>
    </row>
    <row r="35" spans="3:26" s="63" customFormat="1" ht="12" outlineLevel="1" x14ac:dyDescent="0.2">
      <c r="C35" s="208">
        <v>6336</v>
      </c>
      <c r="D35" s="294"/>
      <c r="E35" s="303" t="s">
        <v>13</v>
      </c>
      <c r="F35" s="281"/>
      <c r="G35" s="678"/>
      <c r="H35" s="552"/>
      <c r="J35" s="622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52"/>
      <c r="Y35" s="289"/>
      <c r="Z35" s="289"/>
    </row>
    <row r="36" spans="3:26" s="63" customFormat="1" ht="12" outlineLevel="1" x14ac:dyDescent="0.2">
      <c r="C36" s="64"/>
      <c r="D36" s="564" t="s">
        <v>258</v>
      </c>
      <c r="E36" s="565" t="s">
        <v>514</v>
      </c>
      <c r="F36" s="566">
        <v>0</v>
      </c>
      <c r="G36" s="612">
        <v>0</v>
      </c>
      <c r="H36" s="554">
        <f>F36*G36</f>
        <v>0</v>
      </c>
      <c r="J36" s="626" t="s">
        <v>542</v>
      </c>
      <c r="K36" s="612">
        <f t="shared" ref="K36:V37" si="8">$F36*$G36/12</f>
        <v>0</v>
      </c>
      <c r="L36" s="612">
        <f t="shared" si="8"/>
        <v>0</v>
      </c>
      <c r="M36" s="612">
        <f t="shared" si="8"/>
        <v>0</v>
      </c>
      <c r="N36" s="612">
        <f t="shared" si="8"/>
        <v>0</v>
      </c>
      <c r="O36" s="612">
        <f t="shared" si="8"/>
        <v>0</v>
      </c>
      <c r="P36" s="612">
        <f t="shared" si="8"/>
        <v>0</v>
      </c>
      <c r="Q36" s="612">
        <f t="shared" si="8"/>
        <v>0</v>
      </c>
      <c r="R36" s="612">
        <f t="shared" si="8"/>
        <v>0</v>
      </c>
      <c r="S36" s="612">
        <f t="shared" si="8"/>
        <v>0</v>
      </c>
      <c r="T36" s="612">
        <f t="shared" si="8"/>
        <v>0</v>
      </c>
      <c r="U36" s="612">
        <f t="shared" si="8"/>
        <v>0</v>
      </c>
      <c r="V36" s="612">
        <f t="shared" si="8"/>
        <v>0</v>
      </c>
      <c r="W36" s="618">
        <f>SUM(K36:V36)</f>
        <v>0</v>
      </c>
      <c r="Y36" s="289"/>
      <c r="Z36" s="289"/>
    </row>
    <row r="37" spans="3:26" s="63" customFormat="1" ht="12" outlineLevel="1" x14ac:dyDescent="0.2">
      <c r="C37" s="64"/>
      <c r="D37" s="564" t="s">
        <v>258</v>
      </c>
      <c r="E37" s="565"/>
      <c r="F37" s="566">
        <v>0</v>
      </c>
      <c r="G37" s="612">
        <v>0</v>
      </c>
      <c r="H37" s="618">
        <f>IF(J37="NO", F37*G37,SUM(J37:V37))</f>
        <v>0</v>
      </c>
      <c r="J37" s="626" t="s">
        <v>542</v>
      </c>
      <c r="K37" s="612">
        <f t="shared" si="8"/>
        <v>0</v>
      </c>
      <c r="L37" s="612">
        <f t="shared" si="8"/>
        <v>0</v>
      </c>
      <c r="M37" s="612">
        <f t="shared" si="8"/>
        <v>0</v>
      </c>
      <c r="N37" s="612">
        <f t="shared" si="8"/>
        <v>0</v>
      </c>
      <c r="O37" s="612">
        <f t="shared" si="8"/>
        <v>0</v>
      </c>
      <c r="P37" s="612">
        <f t="shared" si="8"/>
        <v>0</v>
      </c>
      <c r="Q37" s="612">
        <f t="shared" si="8"/>
        <v>0</v>
      </c>
      <c r="R37" s="612">
        <f t="shared" si="8"/>
        <v>0</v>
      </c>
      <c r="S37" s="612">
        <f t="shared" si="8"/>
        <v>0</v>
      </c>
      <c r="T37" s="612">
        <f t="shared" si="8"/>
        <v>0</v>
      </c>
      <c r="U37" s="612">
        <f t="shared" si="8"/>
        <v>0</v>
      </c>
      <c r="V37" s="612">
        <f t="shared" si="8"/>
        <v>0</v>
      </c>
      <c r="W37" s="618">
        <f>SUM(K37:V37)</f>
        <v>0</v>
      </c>
      <c r="Y37" s="289"/>
      <c r="Z37" s="289"/>
    </row>
    <row r="38" spans="3:26" s="63" customFormat="1" ht="3.6" customHeight="1" outlineLevel="1" thickBot="1" x14ac:dyDescent="0.25">
      <c r="C38" s="64"/>
      <c r="D38" s="296"/>
      <c r="E38" s="302"/>
      <c r="F38" s="283"/>
      <c r="G38" s="619"/>
      <c r="H38" s="555"/>
      <c r="J38" s="627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55"/>
      <c r="Y38" s="289"/>
      <c r="Z38" s="289"/>
    </row>
    <row r="39" spans="3:26" s="63" customFormat="1" ht="12.75" thickBot="1" x14ac:dyDescent="0.25">
      <c r="C39" s="64"/>
      <c r="D39" s="294"/>
      <c r="E39" s="301"/>
      <c r="F39" s="284" t="str">
        <f>E35</f>
        <v>Prof-Dev/Other Classfied-Support Personnel</v>
      </c>
      <c r="G39" s="679">
        <v>6336</v>
      </c>
      <c r="H39" s="556">
        <f>SUBTOTAL(9,H36:H38)</f>
        <v>0</v>
      </c>
      <c r="J39" s="629"/>
      <c r="K39" s="623">
        <f t="shared" ref="K39:W39" si="9">SUBTOTAL(9,K36:K38)</f>
        <v>0</v>
      </c>
      <c r="L39" s="623">
        <f t="shared" si="9"/>
        <v>0</v>
      </c>
      <c r="M39" s="623">
        <f t="shared" si="9"/>
        <v>0</v>
      </c>
      <c r="N39" s="623">
        <f t="shared" si="9"/>
        <v>0</v>
      </c>
      <c r="O39" s="623">
        <f t="shared" si="9"/>
        <v>0</v>
      </c>
      <c r="P39" s="623">
        <f t="shared" si="9"/>
        <v>0</v>
      </c>
      <c r="Q39" s="623">
        <f t="shared" si="9"/>
        <v>0</v>
      </c>
      <c r="R39" s="623">
        <f t="shared" si="9"/>
        <v>0</v>
      </c>
      <c r="S39" s="623">
        <f t="shared" si="9"/>
        <v>0</v>
      </c>
      <c r="T39" s="623">
        <f t="shared" si="9"/>
        <v>0</v>
      </c>
      <c r="U39" s="623">
        <f t="shared" si="9"/>
        <v>0</v>
      </c>
      <c r="V39" s="623">
        <f t="shared" si="9"/>
        <v>0</v>
      </c>
      <c r="W39" s="556">
        <f t="shared" si="9"/>
        <v>0</v>
      </c>
      <c r="X39" s="63" t="str">
        <f>IF(H39=W39,"OK","Error")</f>
        <v>OK</v>
      </c>
      <c r="Y39" s="289">
        <v>0</v>
      </c>
      <c r="Z39" s="289">
        <f>H39-Y39</f>
        <v>0</v>
      </c>
    </row>
    <row r="40" spans="3:26" s="63" customFormat="1" ht="12" outlineLevel="1" x14ac:dyDescent="0.2">
      <c r="C40" s="64"/>
      <c r="D40" s="294"/>
      <c r="E40" s="301"/>
      <c r="F40" s="281"/>
      <c r="G40" s="678"/>
      <c r="H40" s="552"/>
      <c r="J40" s="622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52"/>
      <c r="Y40" s="289"/>
      <c r="Z40" s="289"/>
    </row>
    <row r="41" spans="3:26" s="63" customFormat="1" ht="12" outlineLevel="1" x14ac:dyDescent="0.2">
      <c r="C41" s="208">
        <v>6337</v>
      </c>
      <c r="D41" s="294"/>
      <c r="E41" s="301" t="s">
        <v>14</v>
      </c>
      <c r="F41" s="281"/>
      <c r="G41" s="678"/>
      <c r="H41" s="552"/>
      <c r="J41" s="622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52"/>
      <c r="Y41" s="289"/>
      <c r="Z41" s="289"/>
    </row>
    <row r="42" spans="3:26" s="63" customFormat="1" ht="12.75" customHeight="1" outlineLevel="1" x14ac:dyDescent="0.2">
      <c r="C42" s="64"/>
      <c r="D42" s="567" t="s">
        <v>267</v>
      </c>
      <c r="E42" s="568" t="s">
        <v>394</v>
      </c>
      <c r="F42" s="569">
        <v>1</v>
      </c>
      <c r="G42" s="616">
        <v>500</v>
      </c>
      <c r="H42" s="618">
        <f>IF(J42="NO", F42*G42,SUM(J42:V42))</f>
        <v>500</v>
      </c>
      <c r="J42" s="625" t="s">
        <v>542</v>
      </c>
      <c r="K42" s="611">
        <f t="shared" ref="K42:V44" si="10">$F42*$G42/12</f>
        <v>41.666666666666664</v>
      </c>
      <c r="L42" s="611">
        <f t="shared" si="10"/>
        <v>41.666666666666664</v>
      </c>
      <c r="M42" s="611">
        <f t="shared" si="10"/>
        <v>41.666666666666664</v>
      </c>
      <c r="N42" s="611">
        <f t="shared" si="10"/>
        <v>41.666666666666664</v>
      </c>
      <c r="O42" s="611">
        <f t="shared" si="10"/>
        <v>41.666666666666664</v>
      </c>
      <c r="P42" s="611">
        <f t="shared" si="10"/>
        <v>41.666666666666664</v>
      </c>
      <c r="Q42" s="611">
        <f t="shared" si="10"/>
        <v>41.666666666666664</v>
      </c>
      <c r="R42" s="611">
        <f t="shared" si="10"/>
        <v>41.666666666666664</v>
      </c>
      <c r="S42" s="611">
        <f t="shared" si="10"/>
        <v>41.666666666666664</v>
      </c>
      <c r="T42" s="611">
        <f t="shared" si="10"/>
        <v>41.666666666666664</v>
      </c>
      <c r="U42" s="611">
        <f t="shared" si="10"/>
        <v>41.666666666666664</v>
      </c>
      <c r="V42" s="611">
        <f t="shared" si="10"/>
        <v>41.666666666666664</v>
      </c>
      <c r="W42" s="618">
        <f>SUM(K42:V42)</f>
        <v>500.00000000000006</v>
      </c>
      <c r="Y42" s="289"/>
      <c r="Z42" s="289"/>
    </row>
    <row r="43" spans="3:26" s="63" customFormat="1" ht="12" outlineLevel="1" x14ac:dyDescent="0.2">
      <c r="C43" s="64"/>
      <c r="D43" s="564" t="s">
        <v>258</v>
      </c>
      <c r="E43" s="565" t="s">
        <v>514</v>
      </c>
      <c r="F43" s="566">
        <v>0</v>
      </c>
      <c r="G43" s="612">
        <v>0</v>
      </c>
      <c r="H43" s="618">
        <f>IF(J43="NO", F43*G43,SUM(J43:V43))</f>
        <v>0</v>
      </c>
      <c r="J43" s="626" t="s">
        <v>542</v>
      </c>
      <c r="K43" s="612">
        <f t="shared" si="10"/>
        <v>0</v>
      </c>
      <c r="L43" s="612">
        <f t="shared" si="10"/>
        <v>0</v>
      </c>
      <c r="M43" s="612">
        <f t="shared" si="10"/>
        <v>0</v>
      </c>
      <c r="N43" s="612">
        <f t="shared" si="10"/>
        <v>0</v>
      </c>
      <c r="O43" s="612">
        <f t="shared" si="10"/>
        <v>0</v>
      </c>
      <c r="P43" s="612">
        <f t="shared" si="10"/>
        <v>0</v>
      </c>
      <c r="Q43" s="612">
        <f t="shared" si="10"/>
        <v>0</v>
      </c>
      <c r="R43" s="612">
        <f t="shared" si="10"/>
        <v>0</v>
      </c>
      <c r="S43" s="612">
        <f t="shared" si="10"/>
        <v>0</v>
      </c>
      <c r="T43" s="612">
        <f t="shared" si="10"/>
        <v>0</v>
      </c>
      <c r="U43" s="612">
        <f t="shared" si="10"/>
        <v>0</v>
      </c>
      <c r="V43" s="612">
        <f t="shared" si="10"/>
        <v>0</v>
      </c>
      <c r="W43" s="618">
        <f>SUM(K43:V43)</f>
        <v>0</v>
      </c>
      <c r="Y43" s="289"/>
      <c r="Z43" s="289"/>
    </row>
    <row r="44" spans="3:26" s="63" customFormat="1" ht="12" outlineLevel="1" x14ac:dyDescent="0.2">
      <c r="C44" s="64"/>
      <c r="D44" s="564" t="s">
        <v>258</v>
      </c>
      <c r="E44" s="565"/>
      <c r="F44" s="566">
        <v>0</v>
      </c>
      <c r="G44" s="612">
        <v>0</v>
      </c>
      <c r="H44" s="618">
        <f>IF(J44="NO", F44*G44,SUM(J44:V44))</f>
        <v>0</v>
      </c>
      <c r="J44" s="626" t="s">
        <v>542</v>
      </c>
      <c r="K44" s="612">
        <f t="shared" si="10"/>
        <v>0</v>
      </c>
      <c r="L44" s="612">
        <f t="shared" si="10"/>
        <v>0</v>
      </c>
      <c r="M44" s="612">
        <f t="shared" si="10"/>
        <v>0</v>
      </c>
      <c r="N44" s="612">
        <f t="shared" si="10"/>
        <v>0</v>
      </c>
      <c r="O44" s="612">
        <f t="shared" si="10"/>
        <v>0</v>
      </c>
      <c r="P44" s="612">
        <f t="shared" si="10"/>
        <v>0</v>
      </c>
      <c r="Q44" s="612">
        <f t="shared" si="10"/>
        <v>0</v>
      </c>
      <c r="R44" s="612">
        <f t="shared" si="10"/>
        <v>0</v>
      </c>
      <c r="S44" s="612">
        <f t="shared" si="10"/>
        <v>0</v>
      </c>
      <c r="T44" s="612">
        <f t="shared" si="10"/>
        <v>0</v>
      </c>
      <c r="U44" s="612">
        <f t="shared" si="10"/>
        <v>0</v>
      </c>
      <c r="V44" s="612">
        <f t="shared" si="10"/>
        <v>0</v>
      </c>
      <c r="W44" s="618">
        <f>SUM(K44:V44)</f>
        <v>0</v>
      </c>
      <c r="Y44" s="289"/>
      <c r="Z44" s="289"/>
    </row>
    <row r="45" spans="3:26" s="63" customFormat="1" ht="3.6" customHeight="1" outlineLevel="1" thickBot="1" x14ac:dyDescent="0.25">
      <c r="C45" s="64"/>
      <c r="D45" s="296"/>
      <c r="E45" s="302"/>
      <c r="F45" s="283"/>
      <c r="G45" s="619"/>
      <c r="H45" s="555"/>
      <c r="J45" s="627"/>
      <c r="K45" s="562"/>
      <c r="L45" s="562"/>
      <c r="M45" s="562"/>
      <c r="N45" s="562"/>
      <c r="O45" s="562"/>
      <c r="P45" s="562"/>
      <c r="Q45" s="562"/>
      <c r="R45" s="562"/>
      <c r="S45" s="562"/>
      <c r="T45" s="562"/>
      <c r="U45" s="562"/>
      <c r="V45" s="562"/>
      <c r="W45" s="555"/>
      <c r="Y45" s="289"/>
      <c r="Z45" s="289"/>
    </row>
    <row r="46" spans="3:26" s="63" customFormat="1" ht="12.75" thickBot="1" x14ac:dyDescent="0.25">
      <c r="C46" s="64"/>
      <c r="D46" s="294"/>
      <c r="E46" s="301"/>
      <c r="F46" s="284" t="str">
        <f>E41</f>
        <v>Prof-Dev/Technology Training</v>
      </c>
      <c r="G46" s="679">
        <f>C41</f>
        <v>6337</v>
      </c>
      <c r="H46" s="556">
        <f>SUBTOTAL(9,H42:H45)</f>
        <v>500</v>
      </c>
      <c r="J46" s="633"/>
      <c r="K46" s="634">
        <f t="shared" ref="K46:W46" si="11">SUBTOTAL(9,K42:K45)</f>
        <v>41.666666666666664</v>
      </c>
      <c r="L46" s="634">
        <f t="shared" si="11"/>
        <v>41.666666666666664</v>
      </c>
      <c r="M46" s="634">
        <f t="shared" si="11"/>
        <v>41.666666666666664</v>
      </c>
      <c r="N46" s="634">
        <f t="shared" si="11"/>
        <v>41.666666666666664</v>
      </c>
      <c r="O46" s="634">
        <f t="shared" si="11"/>
        <v>41.666666666666664</v>
      </c>
      <c r="P46" s="634">
        <f t="shared" si="11"/>
        <v>41.666666666666664</v>
      </c>
      <c r="Q46" s="634">
        <f t="shared" si="11"/>
        <v>41.666666666666664</v>
      </c>
      <c r="R46" s="634">
        <f t="shared" si="11"/>
        <v>41.666666666666664</v>
      </c>
      <c r="S46" s="634">
        <f t="shared" si="11"/>
        <v>41.666666666666664</v>
      </c>
      <c r="T46" s="634">
        <f t="shared" si="11"/>
        <v>41.666666666666664</v>
      </c>
      <c r="U46" s="634">
        <f t="shared" si="11"/>
        <v>41.666666666666664</v>
      </c>
      <c r="V46" s="634">
        <f t="shared" si="11"/>
        <v>41.666666666666664</v>
      </c>
      <c r="W46" s="556">
        <f t="shared" si="11"/>
        <v>500.00000000000006</v>
      </c>
      <c r="X46" s="63" t="str">
        <f>IF(H46=W46,"OK","Error")</f>
        <v>OK</v>
      </c>
      <c r="Y46" s="289">
        <v>0</v>
      </c>
      <c r="Z46" s="289">
        <f>H46-Y46</f>
        <v>500</v>
      </c>
    </row>
    <row r="47" spans="3:26" s="63" customFormat="1" ht="12" outlineLevel="1" x14ac:dyDescent="0.2">
      <c r="C47" s="64"/>
      <c r="D47" s="294"/>
      <c r="E47" s="301"/>
      <c r="F47" s="281"/>
      <c r="G47" s="678"/>
      <c r="H47" s="552"/>
      <c r="J47" s="622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52"/>
      <c r="Y47" s="289"/>
      <c r="Z47" s="289"/>
    </row>
    <row r="48" spans="3:26" s="63" customFormat="1" ht="12" outlineLevel="1" x14ac:dyDescent="0.2">
      <c r="C48" s="208">
        <v>6340</v>
      </c>
      <c r="D48" s="294"/>
      <c r="E48" s="301" t="s">
        <v>15</v>
      </c>
      <c r="F48" s="281"/>
      <c r="G48" s="678"/>
      <c r="H48" s="552"/>
      <c r="J48" s="622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52"/>
      <c r="Y48" s="289"/>
      <c r="Z48" s="289"/>
    </row>
    <row r="49" spans="3:26" s="63" customFormat="1" ht="12.75" customHeight="1" outlineLevel="1" x14ac:dyDescent="0.2">
      <c r="C49" s="64"/>
      <c r="D49" s="567" t="s">
        <v>323</v>
      </c>
      <c r="E49" s="568" t="s">
        <v>555</v>
      </c>
      <c r="F49" s="675">
        <v>1.4999999999999999E-2</v>
      </c>
      <c r="G49" s="616">
        <f>'Rev &amp; Enroll'!F24*'Rev &amp; Enroll'!F35</f>
        <v>1944000</v>
      </c>
      <c r="H49" s="618">
        <f>IF(J49="NO", F49*G49,SUM(J49:V49))</f>
        <v>29160</v>
      </c>
      <c r="J49" s="625" t="s">
        <v>542</v>
      </c>
      <c r="K49" s="611">
        <f>$G$49*$F$49/12</f>
        <v>2430</v>
      </c>
      <c r="L49" s="611">
        <f t="shared" ref="L49:V49" si="12">$G$49*$F$49/12</f>
        <v>2430</v>
      </c>
      <c r="M49" s="611">
        <f t="shared" si="12"/>
        <v>2430</v>
      </c>
      <c r="N49" s="611">
        <f t="shared" si="12"/>
        <v>2430</v>
      </c>
      <c r="O49" s="611">
        <f t="shared" si="12"/>
        <v>2430</v>
      </c>
      <c r="P49" s="611">
        <f t="shared" si="12"/>
        <v>2430</v>
      </c>
      <c r="Q49" s="611">
        <f t="shared" si="12"/>
        <v>2430</v>
      </c>
      <c r="R49" s="611">
        <f t="shared" si="12"/>
        <v>2430</v>
      </c>
      <c r="S49" s="611">
        <f t="shared" si="12"/>
        <v>2430</v>
      </c>
      <c r="T49" s="611">
        <f t="shared" si="12"/>
        <v>2430</v>
      </c>
      <c r="U49" s="611">
        <f t="shared" si="12"/>
        <v>2430</v>
      </c>
      <c r="V49" s="611">
        <f t="shared" si="12"/>
        <v>2430</v>
      </c>
      <c r="W49" s="618">
        <f>SUM(K49:V49)</f>
        <v>29160</v>
      </c>
      <c r="Y49" s="289"/>
      <c r="Z49" s="289"/>
    </row>
    <row r="50" spans="3:26" s="63" customFormat="1" ht="12" outlineLevel="1" x14ac:dyDescent="0.2">
      <c r="C50" s="64"/>
      <c r="D50" s="564" t="s">
        <v>258</v>
      </c>
      <c r="E50" s="565" t="s">
        <v>605</v>
      </c>
      <c r="F50" s="566">
        <v>0</v>
      </c>
      <c r="G50" s="612">
        <v>0</v>
      </c>
      <c r="H50" s="618">
        <f>IF(J50="NO", F50*G50,SUM(J50:V50))</f>
        <v>0</v>
      </c>
      <c r="J50" s="626" t="s">
        <v>542</v>
      </c>
      <c r="K50" s="612"/>
      <c r="L50" s="612"/>
      <c r="M50" s="612"/>
      <c r="N50" s="612"/>
      <c r="O50" s="612"/>
      <c r="P50" s="612"/>
      <c r="Q50" s="612"/>
      <c r="R50" s="612"/>
      <c r="S50" s="612"/>
      <c r="T50" s="612"/>
      <c r="U50" s="612"/>
      <c r="V50" s="612">
        <f>$F50*$G50/12</f>
        <v>0</v>
      </c>
      <c r="W50" s="618">
        <f>SUM(K50:V50)</f>
        <v>0</v>
      </c>
      <c r="Y50" s="289"/>
      <c r="Z50" s="289"/>
    </row>
    <row r="51" spans="3:26" s="63" customFormat="1" ht="12" outlineLevel="1" x14ac:dyDescent="0.2">
      <c r="C51" s="64"/>
      <c r="D51" s="564" t="s">
        <v>258</v>
      </c>
      <c r="E51" s="565"/>
      <c r="F51" s="566">
        <v>0</v>
      </c>
      <c r="G51" s="612">
        <v>0</v>
      </c>
      <c r="H51" s="618">
        <f>IF(J51="NO", F51*G51,SUM(J51:V51))</f>
        <v>0</v>
      </c>
      <c r="J51" s="626" t="s">
        <v>542</v>
      </c>
      <c r="K51" s="612">
        <f t="shared" ref="K51:U52" si="13">$F51*$G51/12</f>
        <v>0</v>
      </c>
      <c r="L51" s="612">
        <f t="shared" si="13"/>
        <v>0</v>
      </c>
      <c r="M51" s="612">
        <f t="shared" si="13"/>
        <v>0</v>
      </c>
      <c r="N51" s="612">
        <f t="shared" si="13"/>
        <v>0</v>
      </c>
      <c r="O51" s="612">
        <f t="shared" si="13"/>
        <v>0</v>
      </c>
      <c r="P51" s="612">
        <f t="shared" si="13"/>
        <v>0</v>
      </c>
      <c r="Q51" s="612">
        <f t="shared" si="13"/>
        <v>0</v>
      </c>
      <c r="R51" s="612">
        <f t="shared" si="13"/>
        <v>0</v>
      </c>
      <c r="S51" s="612">
        <f t="shared" si="13"/>
        <v>0</v>
      </c>
      <c r="T51" s="612">
        <f t="shared" si="13"/>
        <v>0</v>
      </c>
      <c r="U51" s="612">
        <f t="shared" si="13"/>
        <v>0</v>
      </c>
      <c r="V51" s="612">
        <f>$F51*$G51/12</f>
        <v>0</v>
      </c>
      <c r="W51" s="618">
        <f>SUM(K51:V51)</f>
        <v>0</v>
      </c>
      <c r="Y51" s="289"/>
      <c r="Z51" s="289"/>
    </row>
    <row r="52" spans="3:26" s="63" customFormat="1" ht="12" outlineLevel="1" x14ac:dyDescent="0.2">
      <c r="C52" s="64"/>
      <c r="D52" s="564" t="s">
        <v>258</v>
      </c>
      <c r="E52" s="565"/>
      <c r="F52" s="566">
        <v>0</v>
      </c>
      <c r="G52" s="612">
        <v>0</v>
      </c>
      <c r="H52" s="618">
        <f>IF(J52="NO", F52*G52,SUM(J52:V52))</f>
        <v>0</v>
      </c>
      <c r="J52" s="626" t="s">
        <v>542</v>
      </c>
      <c r="K52" s="612">
        <f t="shared" si="13"/>
        <v>0</v>
      </c>
      <c r="L52" s="612">
        <f t="shared" si="13"/>
        <v>0</v>
      </c>
      <c r="M52" s="612">
        <f t="shared" si="13"/>
        <v>0</v>
      </c>
      <c r="N52" s="612">
        <f t="shared" si="13"/>
        <v>0</v>
      </c>
      <c r="O52" s="612">
        <f t="shared" si="13"/>
        <v>0</v>
      </c>
      <c r="P52" s="612">
        <f t="shared" si="13"/>
        <v>0</v>
      </c>
      <c r="Q52" s="612">
        <f t="shared" si="13"/>
        <v>0</v>
      </c>
      <c r="R52" s="612">
        <f t="shared" si="13"/>
        <v>0</v>
      </c>
      <c r="S52" s="612">
        <f t="shared" si="13"/>
        <v>0</v>
      </c>
      <c r="T52" s="612">
        <f t="shared" si="13"/>
        <v>0</v>
      </c>
      <c r="U52" s="612">
        <f t="shared" si="13"/>
        <v>0</v>
      </c>
      <c r="V52" s="612">
        <f>$F52*$G52/12</f>
        <v>0</v>
      </c>
      <c r="W52" s="618">
        <f>SUM(K52:V52)</f>
        <v>0</v>
      </c>
      <c r="Y52" s="289"/>
      <c r="Z52" s="289"/>
    </row>
    <row r="53" spans="3:26" s="63" customFormat="1" ht="3.6" customHeight="1" outlineLevel="1" thickBot="1" x14ac:dyDescent="0.25">
      <c r="C53" s="64"/>
      <c r="D53" s="296"/>
      <c r="E53" s="302"/>
      <c r="F53" s="283"/>
      <c r="G53" s="619"/>
      <c r="H53" s="619"/>
      <c r="J53" s="627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55"/>
      <c r="Y53" s="289"/>
      <c r="Z53" s="289"/>
    </row>
    <row r="54" spans="3:26" s="63" customFormat="1" ht="12.75" thickBot="1" x14ac:dyDescent="0.25">
      <c r="C54" s="64"/>
      <c r="D54" s="294"/>
      <c r="E54" s="301"/>
      <c r="F54" s="284" t="str">
        <f>E48</f>
        <v>Other Professional Services</v>
      </c>
      <c r="G54" s="679">
        <f>C48</f>
        <v>6340</v>
      </c>
      <c r="H54" s="617">
        <f>SUBTOTAL(9,H49:H53)</f>
        <v>29160</v>
      </c>
      <c r="J54" s="629"/>
      <c r="K54" s="623">
        <f t="shared" ref="K54:W54" si="14">SUBTOTAL(9,K49:K53)</f>
        <v>2430</v>
      </c>
      <c r="L54" s="623">
        <f t="shared" si="14"/>
        <v>2430</v>
      </c>
      <c r="M54" s="623">
        <f t="shared" si="14"/>
        <v>2430</v>
      </c>
      <c r="N54" s="623">
        <f t="shared" si="14"/>
        <v>2430</v>
      </c>
      <c r="O54" s="623">
        <f t="shared" si="14"/>
        <v>2430</v>
      </c>
      <c r="P54" s="623">
        <f t="shared" si="14"/>
        <v>2430</v>
      </c>
      <c r="Q54" s="623">
        <f t="shared" si="14"/>
        <v>2430</v>
      </c>
      <c r="R54" s="623">
        <f t="shared" si="14"/>
        <v>2430</v>
      </c>
      <c r="S54" s="623">
        <f t="shared" si="14"/>
        <v>2430</v>
      </c>
      <c r="T54" s="623">
        <f t="shared" si="14"/>
        <v>2430</v>
      </c>
      <c r="U54" s="623">
        <f t="shared" si="14"/>
        <v>2430</v>
      </c>
      <c r="V54" s="623">
        <f t="shared" si="14"/>
        <v>2430</v>
      </c>
      <c r="W54" s="556">
        <f t="shared" si="14"/>
        <v>29160</v>
      </c>
      <c r="X54" s="63" t="str">
        <f>IF(H54=W54,"OK","Error")</f>
        <v>OK</v>
      </c>
      <c r="Y54" s="289">
        <v>0</v>
      </c>
      <c r="Z54" s="289">
        <f>H54-Y54</f>
        <v>29160</v>
      </c>
    </row>
    <row r="55" spans="3:26" s="63" customFormat="1" ht="12" outlineLevel="1" x14ac:dyDescent="0.2">
      <c r="C55" s="64"/>
      <c r="D55" s="294"/>
      <c r="E55" s="301"/>
      <c r="F55" s="281"/>
      <c r="G55" s="678"/>
      <c r="H55" s="552"/>
      <c r="J55" s="622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52"/>
      <c r="Y55" s="289"/>
      <c r="Z55" s="289"/>
    </row>
    <row r="56" spans="3:26" s="63" customFormat="1" ht="12" outlineLevel="1" x14ac:dyDescent="0.2">
      <c r="C56" s="208">
        <v>6345</v>
      </c>
      <c r="D56" s="294"/>
      <c r="E56" s="301" t="s">
        <v>325</v>
      </c>
      <c r="F56" s="281"/>
      <c r="G56" s="678"/>
      <c r="H56" s="552"/>
      <c r="J56" s="622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52"/>
      <c r="Y56" s="289"/>
      <c r="Z56" s="289"/>
    </row>
    <row r="57" spans="3:26" s="63" customFormat="1" ht="12" outlineLevel="1" x14ac:dyDescent="0.2">
      <c r="C57" s="64"/>
      <c r="D57" s="564" t="s">
        <v>258</v>
      </c>
      <c r="E57" s="565" t="s">
        <v>606</v>
      </c>
      <c r="F57" s="566">
        <v>0</v>
      </c>
      <c r="G57" s="612">
        <v>0</v>
      </c>
      <c r="H57" s="618">
        <f>IF(J57="NO", F57*G57,SUM(J57:V57))</f>
        <v>0</v>
      </c>
      <c r="J57" s="626" t="s">
        <v>542</v>
      </c>
      <c r="K57" s="612">
        <f t="shared" ref="K57:V58" si="15">$F57*$G57/12</f>
        <v>0</v>
      </c>
      <c r="L57" s="612">
        <f t="shared" si="15"/>
        <v>0</v>
      </c>
      <c r="M57" s="612">
        <f t="shared" si="15"/>
        <v>0</v>
      </c>
      <c r="N57" s="612">
        <f t="shared" si="15"/>
        <v>0</v>
      </c>
      <c r="O57" s="612">
        <f t="shared" si="15"/>
        <v>0</v>
      </c>
      <c r="P57" s="612">
        <f t="shared" si="15"/>
        <v>0</v>
      </c>
      <c r="Q57" s="612">
        <f t="shared" si="15"/>
        <v>0</v>
      </c>
      <c r="R57" s="612">
        <f t="shared" si="15"/>
        <v>0</v>
      </c>
      <c r="S57" s="612">
        <f t="shared" si="15"/>
        <v>0</v>
      </c>
      <c r="T57" s="612">
        <f t="shared" si="15"/>
        <v>0</v>
      </c>
      <c r="U57" s="612">
        <f t="shared" si="15"/>
        <v>0</v>
      </c>
      <c r="V57" s="612">
        <f t="shared" si="15"/>
        <v>0</v>
      </c>
      <c r="W57" s="618">
        <f>SUM(K57:V57)</f>
        <v>0</v>
      </c>
      <c r="Y57" s="289"/>
      <c r="Z57" s="289"/>
    </row>
    <row r="58" spans="3:26" s="63" customFormat="1" ht="12" outlineLevel="1" x14ac:dyDescent="0.2">
      <c r="C58" s="64"/>
      <c r="D58" s="564" t="s">
        <v>258</v>
      </c>
      <c r="E58" s="565"/>
      <c r="F58" s="566">
        <v>0</v>
      </c>
      <c r="G58" s="612">
        <v>0</v>
      </c>
      <c r="H58" s="618">
        <f>IF(J58="NO", F58*G58,SUM(J58:V58))</f>
        <v>0</v>
      </c>
      <c r="J58" s="626" t="s">
        <v>542</v>
      </c>
      <c r="K58" s="612">
        <f t="shared" si="15"/>
        <v>0</v>
      </c>
      <c r="L58" s="612">
        <f t="shared" si="15"/>
        <v>0</v>
      </c>
      <c r="M58" s="612">
        <f t="shared" si="15"/>
        <v>0</v>
      </c>
      <c r="N58" s="612">
        <f t="shared" si="15"/>
        <v>0</v>
      </c>
      <c r="O58" s="612">
        <f t="shared" si="15"/>
        <v>0</v>
      </c>
      <c r="P58" s="612">
        <f t="shared" si="15"/>
        <v>0</v>
      </c>
      <c r="Q58" s="612">
        <f t="shared" si="15"/>
        <v>0</v>
      </c>
      <c r="R58" s="612">
        <f t="shared" si="15"/>
        <v>0</v>
      </c>
      <c r="S58" s="612">
        <f t="shared" si="15"/>
        <v>0</v>
      </c>
      <c r="T58" s="612">
        <f t="shared" si="15"/>
        <v>0</v>
      </c>
      <c r="U58" s="612">
        <f t="shared" si="15"/>
        <v>0</v>
      </c>
      <c r="V58" s="612">
        <f t="shared" si="15"/>
        <v>0</v>
      </c>
      <c r="W58" s="618">
        <f>SUM(K58:V58)</f>
        <v>0</v>
      </c>
      <c r="Y58" s="289"/>
      <c r="Z58" s="289"/>
    </row>
    <row r="59" spans="3:26" s="63" customFormat="1" ht="3.6" customHeight="1" outlineLevel="1" thickBot="1" x14ac:dyDescent="0.25">
      <c r="C59" s="64"/>
      <c r="D59" s="296"/>
      <c r="E59" s="302"/>
      <c r="F59" s="283"/>
      <c r="G59" s="619"/>
      <c r="H59" s="555"/>
      <c r="J59" s="627"/>
      <c r="K59" s="562"/>
      <c r="L59" s="562"/>
      <c r="M59" s="562"/>
      <c r="N59" s="562"/>
      <c r="O59" s="562"/>
      <c r="P59" s="562"/>
      <c r="Q59" s="562"/>
      <c r="R59" s="562"/>
      <c r="S59" s="562"/>
      <c r="T59" s="562"/>
      <c r="U59" s="562"/>
      <c r="V59" s="562"/>
      <c r="W59" s="555"/>
      <c r="Y59" s="289"/>
      <c r="Z59" s="289"/>
    </row>
    <row r="60" spans="3:26" s="63" customFormat="1" ht="12.75" thickBot="1" x14ac:dyDescent="0.25">
      <c r="C60" s="64"/>
      <c r="D60" s="294"/>
      <c r="E60" s="301"/>
      <c r="F60" s="284" t="str">
        <f>E56</f>
        <v>Marketing Services</v>
      </c>
      <c r="G60" s="679">
        <f>C56</f>
        <v>6345</v>
      </c>
      <c r="H60" s="556">
        <f>SUBTOTAL(9,H57:H59)</f>
        <v>0</v>
      </c>
      <c r="J60" s="629"/>
      <c r="K60" s="623">
        <f t="shared" ref="K60:W60" si="16">SUBTOTAL(9,K57:K59)</f>
        <v>0</v>
      </c>
      <c r="L60" s="623">
        <f t="shared" si="16"/>
        <v>0</v>
      </c>
      <c r="M60" s="623">
        <f t="shared" si="16"/>
        <v>0</v>
      </c>
      <c r="N60" s="623">
        <f t="shared" si="16"/>
        <v>0</v>
      </c>
      <c r="O60" s="623">
        <f t="shared" si="16"/>
        <v>0</v>
      </c>
      <c r="P60" s="623">
        <f t="shared" si="16"/>
        <v>0</v>
      </c>
      <c r="Q60" s="623">
        <f t="shared" si="16"/>
        <v>0</v>
      </c>
      <c r="R60" s="623">
        <f t="shared" si="16"/>
        <v>0</v>
      </c>
      <c r="S60" s="623">
        <f t="shared" si="16"/>
        <v>0</v>
      </c>
      <c r="T60" s="623">
        <f t="shared" si="16"/>
        <v>0</v>
      </c>
      <c r="U60" s="623">
        <f t="shared" si="16"/>
        <v>0</v>
      </c>
      <c r="V60" s="623">
        <f t="shared" si="16"/>
        <v>0</v>
      </c>
      <c r="W60" s="556">
        <f t="shared" si="16"/>
        <v>0</v>
      </c>
      <c r="X60" s="63" t="str">
        <f>IF(H60=W60,"OK","Error")</f>
        <v>OK</v>
      </c>
      <c r="Y60" s="289">
        <v>0</v>
      </c>
      <c r="Z60" s="289">
        <f>H60-Y60</f>
        <v>0</v>
      </c>
    </row>
    <row r="61" spans="3:26" s="63" customFormat="1" ht="12" outlineLevel="1" x14ac:dyDescent="0.2">
      <c r="C61" s="64"/>
      <c r="D61" s="294"/>
      <c r="E61" s="301"/>
      <c r="F61" s="281"/>
      <c r="G61" s="678"/>
      <c r="H61" s="552"/>
      <c r="J61" s="622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0"/>
      <c r="V61" s="560"/>
      <c r="W61" s="552"/>
      <c r="Y61" s="289"/>
      <c r="Z61" s="289"/>
    </row>
    <row r="62" spans="3:26" s="63" customFormat="1" ht="12" outlineLevel="1" x14ac:dyDescent="0.2">
      <c r="C62" s="208">
        <v>6350</v>
      </c>
      <c r="D62" s="294"/>
      <c r="E62" s="301" t="s">
        <v>324</v>
      </c>
      <c r="F62" s="281"/>
      <c r="G62" s="678"/>
      <c r="H62" s="552"/>
      <c r="J62" s="622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52"/>
      <c r="Y62" s="289"/>
      <c r="Z62" s="289"/>
    </row>
    <row r="63" spans="3:26" s="63" customFormat="1" ht="12" outlineLevel="1" x14ac:dyDescent="0.2">
      <c r="C63" s="64"/>
      <c r="D63" s="567" t="s">
        <v>271</v>
      </c>
      <c r="E63" s="568" t="s">
        <v>538</v>
      </c>
      <c r="F63" s="576">
        <v>20</v>
      </c>
      <c r="G63" s="613">
        <v>100</v>
      </c>
      <c r="H63" s="618">
        <f>IF(J63="NO", F63*G63,SUM(J63:V63))</f>
        <v>2000</v>
      </c>
      <c r="J63" s="625" t="s">
        <v>542</v>
      </c>
      <c r="K63" s="611">
        <f>$G$63*$F$63/12</f>
        <v>166.66666666666666</v>
      </c>
      <c r="L63" s="611">
        <f t="shared" ref="L63:V63" si="17">$G$63*$F$63/12</f>
        <v>166.66666666666666</v>
      </c>
      <c r="M63" s="611">
        <f t="shared" si="17"/>
        <v>166.66666666666666</v>
      </c>
      <c r="N63" s="611">
        <f t="shared" si="17"/>
        <v>166.66666666666666</v>
      </c>
      <c r="O63" s="611">
        <f t="shared" si="17"/>
        <v>166.66666666666666</v>
      </c>
      <c r="P63" s="611">
        <f t="shared" si="17"/>
        <v>166.66666666666666</v>
      </c>
      <c r="Q63" s="611">
        <f t="shared" si="17"/>
        <v>166.66666666666666</v>
      </c>
      <c r="R63" s="611">
        <f t="shared" si="17"/>
        <v>166.66666666666666</v>
      </c>
      <c r="S63" s="611">
        <f t="shared" si="17"/>
        <v>166.66666666666666</v>
      </c>
      <c r="T63" s="611">
        <f t="shared" si="17"/>
        <v>166.66666666666666</v>
      </c>
      <c r="U63" s="611">
        <f t="shared" si="17"/>
        <v>166.66666666666666</v>
      </c>
      <c r="V63" s="611">
        <f t="shared" si="17"/>
        <v>166.66666666666666</v>
      </c>
      <c r="W63" s="618">
        <f>SUM(K63:V63)</f>
        <v>2000.0000000000002</v>
      </c>
      <c r="Y63" s="289"/>
      <c r="Z63" s="289"/>
    </row>
    <row r="64" spans="3:26" s="63" customFormat="1" ht="12" outlineLevel="1" x14ac:dyDescent="0.2">
      <c r="C64" s="64"/>
      <c r="D64" s="564" t="s">
        <v>258</v>
      </c>
      <c r="E64" s="565"/>
      <c r="F64" s="566">
        <v>0</v>
      </c>
      <c r="G64" s="612">
        <v>0</v>
      </c>
      <c r="H64" s="618">
        <f>IF(J64="NO", F64*G64,SUM(J64:V64))</f>
        <v>0</v>
      </c>
      <c r="J64" s="626" t="s">
        <v>542</v>
      </c>
      <c r="K64" s="612">
        <v>0</v>
      </c>
      <c r="L64" s="612">
        <v>0</v>
      </c>
      <c r="M64" s="612">
        <v>0</v>
      </c>
      <c r="N64" s="612">
        <v>0</v>
      </c>
      <c r="O64" s="612">
        <v>0</v>
      </c>
      <c r="P64" s="612">
        <v>0</v>
      </c>
      <c r="Q64" s="612">
        <v>0</v>
      </c>
      <c r="R64" s="612">
        <v>0</v>
      </c>
      <c r="S64" s="612">
        <v>0</v>
      </c>
      <c r="T64" s="612">
        <v>0</v>
      </c>
      <c r="U64" s="612">
        <v>0</v>
      </c>
      <c r="V64" s="612">
        <v>0</v>
      </c>
      <c r="W64" s="618">
        <f>SUM(K64:V64)</f>
        <v>0</v>
      </c>
      <c r="Y64" s="289"/>
      <c r="Z64" s="289"/>
    </row>
    <row r="65" spans="3:26" s="63" customFormat="1" ht="3.6" customHeight="1" outlineLevel="1" thickBot="1" x14ac:dyDescent="0.25">
      <c r="C65" s="64"/>
      <c r="D65" s="296"/>
      <c r="E65" s="302"/>
      <c r="F65" s="283"/>
      <c r="G65" s="619"/>
      <c r="H65" s="555"/>
      <c r="J65" s="627"/>
      <c r="K65" s="562"/>
      <c r="L65" s="562"/>
      <c r="M65" s="562"/>
      <c r="N65" s="562"/>
      <c r="O65" s="562"/>
      <c r="P65" s="562"/>
      <c r="Q65" s="562"/>
      <c r="R65" s="562"/>
      <c r="S65" s="562"/>
      <c r="T65" s="562"/>
      <c r="U65" s="562"/>
      <c r="V65" s="562"/>
      <c r="W65" s="555"/>
      <c r="Y65" s="289"/>
      <c r="Z65" s="289"/>
    </row>
    <row r="66" spans="3:26" s="63" customFormat="1" ht="12.75" thickBot="1" x14ac:dyDescent="0.25">
      <c r="C66" s="64"/>
      <c r="D66" s="294"/>
      <c r="E66" s="301"/>
      <c r="F66" s="284" t="str">
        <f>E62</f>
        <v>Technical Services - Technology</v>
      </c>
      <c r="G66" s="679">
        <f>C62</f>
        <v>6350</v>
      </c>
      <c r="H66" s="556">
        <f>SUBTOTAL(9,H63:H65)</f>
        <v>2000</v>
      </c>
      <c r="J66" s="629"/>
      <c r="K66" s="623">
        <f t="shared" ref="K66:W66" si="18">SUBTOTAL(9,K63:K65)</f>
        <v>166.66666666666666</v>
      </c>
      <c r="L66" s="623">
        <f t="shared" si="18"/>
        <v>166.66666666666666</v>
      </c>
      <c r="M66" s="623">
        <f t="shared" si="18"/>
        <v>166.66666666666666</v>
      </c>
      <c r="N66" s="623">
        <f t="shared" si="18"/>
        <v>166.66666666666666</v>
      </c>
      <c r="O66" s="623">
        <f t="shared" si="18"/>
        <v>166.66666666666666</v>
      </c>
      <c r="P66" s="623">
        <f t="shared" si="18"/>
        <v>166.66666666666666</v>
      </c>
      <c r="Q66" s="623">
        <f t="shared" si="18"/>
        <v>166.66666666666666</v>
      </c>
      <c r="R66" s="623">
        <f t="shared" si="18"/>
        <v>166.66666666666666</v>
      </c>
      <c r="S66" s="623">
        <f t="shared" si="18"/>
        <v>166.66666666666666</v>
      </c>
      <c r="T66" s="623">
        <f t="shared" si="18"/>
        <v>166.66666666666666</v>
      </c>
      <c r="U66" s="623">
        <f t="shared" si="18"/>
        <v>166.66666666666666</v>
      </c>
      <c r="V66" s="623">
        <f t="shared" si="18"/>
        <v>166.66666666666666</v>
      </c>
      <c r="W66" s="556">
        <f t="shared" si="18"/>
        <v>2000.0000000000002</v>
      </c>
      <c r="X66" s="63" t="str">
        <f>IF(H66=W66,"OK","Error")</f>
        <v>OK</v>
      </c>
      <c r="Y66" s="289">
        <v>0</v>
      </c>
      <c r="Z66" s="289">
        <f>H66-Y66</f>
        <v>2000</v>
      </c>
    </row>
    <row r="67" spans="3:26" s="63" customFormat="1" ht="12" outlineLevel="1" x14ac:dyDescent="0.2">
      <c r="C67" s="64"/>
      <c r="D67" s="294"/>
      <c r="E67" s="301"/>
      <c r="F67" s="281"/>
      <c r="G67" s="678"/>
      <c r="H67" s="552"/>
      <c r="J67" s="622"/>
      <c r="K67" s="560"/>
      <c r="L67" s="560"/>
      <c r="M67" s="560"/>
      <c r="N67" s="560"/>
      <c r="O67" s="560"/>
      <c r="P67" s="560"/>
      <c r="Q67" s="560"/>
      <c r="R67" s="560"/>
      <c r="S67" s="560"/>
      <c r="T67" s="560"/>
      <c r="U67" s="560"/>
      <c r="V67" s="560"/>
      <c r="W67" s="552"/>
      <c r="Y67" s="289"/>
      <c r="Z67" s="289"/>
    </row>
    <row r="68" spans="3:26" s="63" customFormat="1" ht="12" outlineLevel="1" x14ac:dyDescent="0.2">
      <c r="C68" s="208">
        <v>6351</v>
      </c>
      <c r="D68" s="294"/>
      <c r="E68" s="301" t="s">
        <v>18</v>
      </c>
      <c r="F68" s="281"/>
      <c r="G68" s="678"/>
      <c r="H68" s="552"/>
      <c r="J68" s="622"/>
      <c r="K68" s="560"/>
      <c r="L68" s="560"/>
      <c r="M68" s="560"/>
      <c r="N68" s="560"/>
      <c r="O68" s="560"/>
      <c r="P68" s="560"/>
      <c r="Q68" s="560"/>
      <c r="R68" s="560"/>
      <c r="S68" s="560"/>
      <c r="T68" s="560"/>
      <c r="U68" s="560"/>
      <c r="V68" s="560"/>
      <c r="W68" s="552"/>
      <c r="Y68" s="289"/>
      <c r="Z68" s="289"/>
    </row>
    <row r="69" spans="3:26" s="63" customFormat="1" ht="12" outlineLevel="1" x14ac:dyDescent="0.2">
      <c r="C69" s="64"/>
      <c r="D69" s="595" t="s">
        <v>258</v>
      </c>
      <c r="E69" s="596"/>
      <c r="F69" s="597">
        <v>0</v>
      </c>
      <c r="G69" s="614">
        <v>0</v>
      </c>
      <c r="H69" s="618">
        <f>IF(J69="NO", F69*G69,SUM(J69:V69))</f>
        <v>0</v>
      </c>
      <c r="J69" s="631" t="s">
        <v>542</v>
      </c>
      <c r="K69" s="614">
        <v>0</v>
      </c>
      <c r="L69" s="614">
        <v>0</v>
      </c>
      <c r="M69" s="614">
        <v>0</v>
      </c>
      <c r="N69" s="614">
        <v>0</v>
      </c>
      <c r="O69" s="614">
        <v>0</v>
      </c>
      <c r="P69" s="614">
        <v>0</v>
      </c>
      <c r="Q69" s="614">
        <v>0</v>
      </c>
      <c r="R69" s="614">
        <v>0</v>
      </c>
      <c r="S69" s="614">
        <v>0</v>
      </c>
      <c r="T69" s="614">
        <v>0</v>
      </c>
      <c r="U69" s="614">
        <v>0</v>
      </c>
      <c r="V69" s="614">
        <v>0</v>
      </c>
      <c r="W69" s="554">
        <f>U69*V69</f>
        <v>0</v>
      </c>
      <c r="Y69" s="289"/>
      <c r="Z69" s="289"/>
    </row>
    <row r="70" spans="3:26" s="63" customFormat="1" ht="12" outlineLevel="1" x14ac:dyDescent="0.2">
      <c r="C70" s="64"/>
      <c r="D70" s="595" t="s">
        <v>258</v>
      </c>
      <c r="E70" s="596"/>
      <c r="F70" s="597">
        <v>0</v>
      </c>
      <c r="G70" s="614">
        <v>0</v>
      </c>
      <c r="H70" s="618">
        <f>IF(J70="NO", F70*G70,SUM(J70:V70))</f>
        <v>0</v>
      </c>
      <c r="J70" s="631" t="s">
        <v>542</v>
      </c>
      <c r="K70" s="614">
        <v>0</v>
      </c>
      <c r="L70" s="614">
        <v>0</v>
      </c>
      <c r="M70" s="614">
        <v>0</v>
      </c>
      <c r="N70" s="614">
        <v>0</v>
      </c>
      <c r="O70" s="614">
        <v>0</v>
      </c>
      <c r="P70" s="614">
        <v>0</v>
      </c>
      <c r="Q70" s="614">
        <v>0</v>
      </c>
      <c r="R70" s="614">
        <v>0</v>
      </c>
      <c r="S70" s="614">
        <v>0</v>
      </c>
      <c r="T70" s="614">
        <v>0</v>
      </c>
      <c r="U70" s="614">
        <v>0</v>
      </c>
      <c r="V70" s="614">
        <v>0</v>
      </c>
      <c r="W70" s="554">
        <f>U70*V70</f>
        <v>0</v>
      </c>
      <c r="Y70" s="289"/>
      <c r="Z70" s="289"/>
    </row>
    <row r="71" spans="3:26" s="63" customFormat="1" ht="12" outlineLevel="1" x14ac:dyDescent="0.2">
      <c r="C71" s="64"/>
      <c r="D71" s="595" t="s">
        <v>258</v>
      </c>
      <c r="E71" s="596"/>
      <c r="F71" s="597">
        <v>0</v>
      </c>
      <c r="G71" s="614">
        <v>0</v>
      </c>
      <c r="H71" s="618">
        <f>IF(J71="NO", F71*G71,SUM(J71:V71))</f>
        <v>0</v>
      </c>
      <c r="J71" s="631" t="s">
        <v>542</v>
      </c>
      <c r="K71" s="614">
        <v>0</v>
      </c>
      <c r="L71" s="614">
        <v>0</v>
      </c>
      <c r="M71" s="614">
        <v>0</v>
      </c>
      <c r="N71" s="614">
        <v>0</v>
      </c>
      <c r="O71" s="614">
        <v>0</v>
      </c>
      <c r="P71" s="614">
        <v>0</v>
      </c>
      <c r="Q71" s="614">
        <v>0</v>
      </c>
      <c r="R71" s="614">
        <v>0</v>
      </c>
      <c r="S71" s="614">
        <v>0</v>
      </c>
      <c r="T71" s="614">
        <v>0</v>
      </c>
      <c r="U71" s="614">
        <v>0</v>
      </c>
      <c r="V71" s="614">
        <v>0</v>
      </c>
      <c r="W71" s="554">
        <f>U71*V71</f>
        <v>0</v>
      </c>
      <c r="Y71" s="289"/>
      <c r="Z71" s="289"/>
    </row>
    <row r="72" spans="3:26" s="63" customFormat="1" ht="12" outlineLevel="1" x14ac:dyDescent="0.2">
      <c r="C72" s="64"/>
      <c r="D72" s="595" t="s">
        <v>258</v>
      </c>
      <c r="E72" s="596"/>
      <c r="F72" s="597">
        <v>0</v>
      </c>
      <c r="G72" s="614">
        <v>0</v>
      </c>
      <c r="H72" s="618">
        <f>IF(J72="NO", F72*G72,SUM(J72:V72))</f>
        <v>0</v>
      </c>
      <c r="J72" s="631" t="s">
        <v>542</v>
      </c>
      <c r="K72" s="614">
        <v>0</v>
      </c>
      <c r="L72" s="614">
        <v>0</v>
      </c>
      <c r="M72" s="614">
        <v>0</v>
      </c>
      <c r="N72" s="614">
        <v>0</v>
      </c>
      <c r="O72" s="614">
        <v>0</v>
      </c>
      <c r="P72" s="614">
        <v>0</v>
      </c>
      <c r="Q72" s="614">
        <v>0</v>
      </c>
      <c r="R72" s="614">
        <v>0</v>
      </c>
      <c r="S72" s="614">
        <v>0</v>
      </c>
      <c r="T72" s="614">
        <v>0</v>
      </c>
      <c r="U72" s="614">
        <v>0</v>
      </c>
      <c r="V72" s="614">
        <v>0</v>
      </c>
      <c r="W72" s="554">
        <f>U72*V72</f>
        <v>0</v>
      </c>
      <c r="Y72" s="289"/>
      <c r="Z72" s="289"/>
    </row>
    <row r="73" spans="3:26" s="63" customFormat="1" ht="12" outlineLevel="1" x14ac:dyDescent="0.2">
      <c r="C73" s="64"/>
      <c r="D73" s="595" t="s">
        <v>258</v>
      </c>
      <c r="E73" s="596"/>
      <c r="F73" s="597">
        <v>0</v>
      </c>
      <c r="G73" s="614">
        <v>0</v>
      </c>
      <c r="H73" s="618">
        <f>IF(J73="NO", F73*G73,SUM(J73:V73))</f>
        <v>0</v>
      </c>
      <c r="J73" s="631" t="s">
        <v>542</v>
      </c>
      <c r="K73" s="614">
        <v>0</v>
      </c>
      <c r="L73" s="614">
        <v>0</v>
      </c>
      <c r="M73" s="614">
        <v>0</v>
      </c>
      <c r="N73" s="614">
        <v>0</v>
      </c>
      <c r="O73" s="614">
        <v>0</v>
      </c>
      <c r="P73" s="614">
        <v>0</v>
      </c>
      <c r="Q73" s="614">
        <v>0</v>
      </c>
      <c r="R73" s="614">
        <v>0</v>
      </c>
      <c r="S73" s="614">
        <v>0</v>
      </c>
      <c r="T73" s="614">
        <v>0</v>
      </c>
      <c r="U73" s="614">
        <v>0</v>
      </c>
      <c r="V73" s="614">
        <v>0</v>
      </c>
      <c r="W73" s="554">
        <f>U73*V73</f>
        <v>0</v>
      </c>
      <c r="Y73" s="289"/>
      <c r="Z73" s="289"/>
    </row>
    <row r="74" spans="3:26" s="63" customFormat="1" ht="3.6" customHeight="1" outlineLevel="1" thickBot="1" x14ac:dyDescent="0.25">
      <c r="C74" s="64"/>
      <c r="D74" s="296"/>
      <c r="E74" s="302"/>
      <c r="F74" s="283"/>
      <c r="G74" s="619"/>
      <c r="H74" s="555"/>
      <c r="J74" s="627"/>
      <c r="K74" s="562"/>
      <c r="L74" s="562"/>
      <c r="M74" s="562"/>
      <c r="N74" s="562"/>
      <c r="O74" s="562"/>
      <c r="P74" s="562"/>
      <c r="Q74" s="562"/>
      <c r="R74" s="562"/>
      <c r="S74" s="562"/>
      <c r="T74" s="562"/>
      <c r="U74" s="562"/>
      <c r="V74" s="562"/>
      <c r="W74" s="555"/>
      <c r="Y74" s="289"/>
      <c r="Z74" s="289"/>
    </row>
    <row r="75" spans="3:26" s="63" customFormat="1" ht="12.75" thickBot="1" x14ac:dyDescent="0.25">
      <c r="C75" s="64"/>
      <c r="D75" s="294"/>
      <c r="E75" s="301"/>
      <c r="F75" s="284" t="str">
        <f>E68</f>
        <v>Data Processing and Coding Services</v>
      </c>
      <c r="G75" s="679">
        <f>C68</f>
        <v>6351</v>
      </c>
      <c r="H75" s="556">
        <f>SUBTOTAL(9,H69:H74)</f>
        <v>0</v>
      </c>
      <c r="J75" s="629"/>
      <c r="K75" s="623">
        <f t="shared" ref="K75:W75" si="19">SUBTOTAL(9,K69:K74)</f>
        <v>0</v>
      </c>
      <c r="L75" s="623">
        <f t="shared" si="19"/>
        <v>0</v>
      </c>
      <c r="M75" s="623">
        <f t="shared" si="19"/>
        <v>0</v>
      </c>
      <c r="N75" s="623">
        <f t="shared" si="19"/>
        <v>0</v>
      </c>
      <c r="O75" s="623">
        <f t="shared" si="19"/>
        <v>0</v>
      </c>
      <c r="P75" s="623">
        <f t="shared" si="19"/>
        <v>0</v>
      </c>
      <c r="Q75" s="623">
        <f t="shared" si="19"/>
        <v>0</v>
      </c>
      <c r="R75" s="623">
        <f t="shared" si="19"/>
        <v>0</v>
      </c>
      <c r="S75" s="623">
        <f t="shared" si="19"/>
        <v>0</v>
      </c>
      <c r="T75" s="623">
        <f t="shared" si="19"/>
        <v>0</v>
      </c>
      <c r="U75" s="623">
        <f t="shared" si="19"/>
        <v>0</v>
      </c>
      <c r="V75" s="623">
        <f t="shared" si="19"/>
        <v>0</v>
      </c>
      <c r="W75" s="556">
        <f t="shared" si="19"/>
        <v>0</v>
      </c>
      <c r="X75" s="63" t="str">
        <f>IF(H75=W75,"OK","Error")</f>
        <v>OK</v>
      </c>
      <c r="Y75" s="289">
        <v>0</v>
      </c>
      <c r="Z75" s="289">
        <f>H75-Y75</f>
        <v>0</v>
      </c>
    </row>
    <row r="76" spans="3:26" s="63" customFormat="1" ht="12" x14ac:dyDescent="0.2">
      <c r="C76" s="64"/>
      <c r="D76" s="294"/>
      <c r="E76" s="301"/>
      <c r="F76" s="281"/>
      <c r="G76" s="678"/>
      <c r="H76" s="552"/>
      <c r="J76" s="622"/>
      <c r="K76" s="560"/>
      <c r="L76" s="560"/>
      <c r="M76" s="560"/>
      <c r="N76" s="560"/>
      <c r="O76" s="560"/>
      <c r="P76" s="560"/>
      <c r="Q76" s="560"/>
      <c r="R76" s="560"/>
      <c r="S76" s="560"/>
      <c r="T76" s="560"/>
      <c r="U76" s="560"/>
      <c r="V76" s="560"/>
      <c r="W76" s="552"/>
      <c r="Y76" s="289"/>
      <c r="Z76" s="289"/>
    </row>
    <row r="77" spans="3:26" s="63" customFormat="1" ht="12" x14ac:dyDescent="0.2">
      <c r="C77" s="66" t="s">
        <v>100</v>
      </c>
      <c r="D77" s="294"/>
      <c r="E77" s="301"/>
      <c r="F77" s="281"/>
      <c r="G77" s="678"/>
      <c r="H77" s="552"/>
      <c r="J77" s="622"/>
      <c r="K77" s="560"/>
      <c r="L77" s="560"/>
      <c r="M77" s="560"/>
      <c r="N77" s="560"/>
      <c r="O77" s="560"/>
      <c r="P77" s="560"/>
      <c r="Q77" s="560"/>
      <c r="R77" s="560"/>
      <c r="S77" s="560"/>
      <c r="T77" s="560"/>
      <c r="U77" s="560"/>
      <c r="V77" s="560"/>
      <c r="W77" s="552"/>
      <c r="Y77" s="289"/>
      <c r="Z77" s="289"/>
    </row>
    <row r="78" spans="3:26" s="63" customFormat="1" ht="12" outlineLevel="1" x14ac:dyDescent="0.2">
      <c r="C78" s="208">
        <v>6410</v>
      </c>
      <c r="D78" s="294"/>
      <c r="E78" s="301" t="s">
        <v>19</v>
      </c>
      <c r="F78" s="281"/>
      <c r="G78" s="678"/>
      <c r="H78" s="552"/>
      <c r="J78" s="622"/>
      <c r="K78" s="560"/>
      <c r="L78" s="560"/>
      <c r="M78" s="560"/>
      <c r="N78" s="560"/>
      <c r="O78" s="560"/>
      <c r="P78" s="560"/>
      <c r="Q78" s="560"/>
      <c r="R78" s="560"/>
      <c r="S78" s="560"/>
      <c r="T78" s="560"/>
      <c r="U78" s="560"/>
      <c r="V78" s="560"/>
      <c r="W78" s="552"/>
      <c r="Y78" s="289"/>
      <c r="Z78" s="289"/>
    </row>
    <row r="79" spans="3:26" s="63" customFormat="1" ht="12" outlineLevel="1" x14ac:dyDescent="0.2">
      <c r="C79" s="64"/>
      <c r="D79" s="567" t="s">
        <v>273</v>
      </c>
      <c r="E79" s="568" t="s">
        <v>556</v>
      </c>
      <c r="F79" s="576">
        <v>12</v>
      </c>
      <c r="G79" s="613">
        <v>200</v>
      </c>
      <c r="H79" s="618">
        <f>IF(J79="NO", F79*G79,SUM(J79:V79))</f>
        <v>2400</v>
      </c>
      <c r="J79" s="625" t="s">
        <v>542</v>
      </c>
      <c r="K79" s="611">
        <f>$G$79*$F$79/12</f>
        <v>200</v>
      </c>
      <c r="L79" s="611">
        <f t="shared" ref="L79:V79" si="20">$G$79*$F$79/12</f>
        <v>200</v>
      </c>
      <c r="M79" s="611">
        <f t="shared" si="20"/>
        <v>200</v>
      </c>
      <c r="N79" s="611">
        <f t="shared" si="20"/>
        <v>200</v>
      </c>
      <c r="O79" s="611">
        <f t="shared" si="20"/>
        <v>200</v>
      </c>
      <c r="P79" s="611">
        <f t="shared" si="20"/>
        <v>200</v>
      </c>
      <c r="Q79" s="611">
        <f t="shared" si="20"/>
        <v>200</v>
      </c>
      <c r="R79" s="611">
        <f t="shared" si="20"/>
        <v>200</v>
      </c>
      <c r="S79" s="611">
        <f t="shared" si="20"/>
        <v>200</v>
      </c>
      <c r="T79" s="611">
        <f t="shared" si="20"/>
        <v>200</v>
      </c>
      <c r="U79" s="611">
        <f t="shared" si="20"/>
        <v>200</v>
      </c>
      <c r="V79" s="611">
        <f t="shared" si="20"/>
        <v>200</v>
      </c>
      <c r="W79" s="618">
        <f>SUM(K79:V79)</f>
        <v>2400</v>
      </c>
      <c r="Y79" s="289"/>
      <c r="Z79" s="289"/>
    </row>
    <row r="80" spans="3:26" s="63" customFormat="1" ht="12" outlineLevel="1" x14ac:dyDescent="0.2">
      <c r="C80" s="64"/>
      <c r="D80" s="564" t="s">
        <v>258</v>
      </c>
      <c r="E80" s="565" t="s">
        <v>557</v>
      </c>
      <c r="F80" s="566">
        <v>0</v>
      </c>
      <c r="G80" s="612">
        <v>0</v>
      </c>
      <c r="H80" s="618">
        <f>IF(J80="NO", F80*G80,SUM(J80:V80))</f>
        <v>0</v>
      </c>
      <c r="J80" s="626" t="s">
        <v>542</v>
      </c>
      <c r="K80" s="612">
        <f t="shared" ref="K80:V81" si="21">$F80*$G80/12</f>
        <v>0</v>
      </c>
      <c r="L80" s="612">
        <f t="shared" si="21"/>
        <v>0</v>
      </c>
      <c r="M80" s="612">
        <f t="shared" si="21"/>
        <v>0</v>
      </c>
      <c r="N80" s="612">
        <f t="shared" si="21"/>
        <v>0</v>
      </c>
      <c r="O80" s="612">
        <f t="shared" si="21"/>
        <v>0</v>
      </c>
      <c r="P80" s="612">
        <f t="shared" si="21"/>
        <v>0</v>
      </c>
      <c r="Q80" s="612">
        <f t="shared" si="21"/>
        <v>0</v>
      </c>
      <c r="R80" s="612">
        <f t="shared" si="21"/>
        <v>0</v>
      </c>
      <c r="S80" s="612">
        <f t="shared" si="21"/>
        <v>0</v>
      </c>
      <c r="T80" s="612">
        <f t="shared" si="21"/>
        <v>0</v>
      </c>
      <c r="U80" s="612">
        <f t="shared" si="21"/>
        <v>0</v>
      </c>
      <c r="V80" s="612">
        <f t="shared" si="21"/>
        <v>0</v>
      </c>
      <c r="W80" s="618">
        <f>SUM(K80:V80)</f>
        <v>0</v>
      </c>
      <c r="Y80" s="289"/>
      <c r="Z80" s="289"/>
    </row>
    <row r="81" spans="3:26" s="63" customFormat="1" ht="12" outlineLevel="1" x14ac:dyDescent="0.2">
      <c r="C81" s="64"/>
      <c r="D81" s="564" t="s">
        <v>258</v>
      </c>
      <c r="E81" s="565"/>
      <c r="F81" s="566">
        <v>0</v>
      </c>
      <c r="G81" s="612">
        <v>0</v>
      </c>
      <c r="H81" s="618">
        <f>IF(J81="NO", F81*G81,SUM(J81:V81))</f>
        <v>0</v>
      </c>
      <c r="J81" s="626" t="s">
        <v>542</v>
      </c>
      <c r="K81" s="612">
        <f t="shared" si="21"/>
        <v>0</v>
      </c>
      <c r="L81" s="612">
        <f t="shared" si="21"/>
        <v>0</v>
      </c>
      <c r="M81" s="612">
        <f t="shared" si="21"/>
        <v>0</v>
      </c>
      <c r="N81" s="612">
        <f t="shared" si="21"/>
        <v>0</v>
      </c>
      <c r="O81" s="612">
        <f t="shared" si="21"/>
        <v>0</v>
      </c>
      <c r="P81" s="612">
        <f t="shared" si="21"/>
        <v>0</v>
      </c>
      <c r="Q81" s="612">
        <f t="shared" si="21"/>
        <v>0</v>
      </c>
      <c r="R81" s="612">
        <f t="shared" si="21"/>
        <v>0</v>
      </c>
      <c r="S81" s="612">
        <f t="shared" si="21"/>
        <v>0</v>
      </c>
      <c r="T81" s="612">
        <f t="shared" si="21"/>
        <v>0</v>
      </c>
      <c r="U81" s="612">
        <f t="shared" si="21"/>
        <v>0</v>
      </c>
      <c r="V81" s="612">
        <f t="shared" si="21"/>
        <v>0</v>
      </c>
      <c r="W81" s="618">
        <f>SUM(K81:V81)</f>
        <v>0</v>
      </c>
      <c r="Y81" s="289"/>
      <c r="Z81" s="289"/>
    </row>
    <row r="82" spans="3:26" s="63" customFormat="1" ht="3.6" customHeight="1" outlineLevel="1" thickBot="1" x14ac:dyDescent="0.25">
      <c r="C82" s="64"/>
      <c r="D82" s="296"/>
      <c r="E82" s="302"/>
      <c r="F82" s="283"/>
      <c r="G82" s="619"/>
      <c r="H82" s="555"/>
      <c r="J82" s="627"/>
      <c r="K82" s="562"/>
      <c r="L82" s="562"/>
      <c r="M82" s="562"/>
      <c r="N82" s="562"/>
      <c r="O82" s="562"/>
      <c r="P82" s="562"/>
      <c r="Q82" s="562"/>
      <c r="R82" s="562"/>
      <c r="S82" s="562"/>
      <c r="T82" s="562"/>
      <c r="U82" s="562"/>
      <c r="V82" s="562"/>
      <c r="W82" s="555"/>
      <c r="Y82" s="289"/>
      <c r="Z82" s="289"/>
    </row>
    <row r="83" spans="3:26" s="63" customFormat="1" ht="12.75" thickBot="1" x14ac:dyDescent="0.25">
      <c r="C83" s="64"/>
      <c r="D83" s="294"/>
      <c r="E83" s="301"/>
      <c r="F83" s="284" t="str">
        <f>E78</f>
        <v>Utility Services</v>
      </c>
      <c r="G83" s="679">
        <f>C78</f>
        <v>6410</v>
      </c>
      <c r="H83" s="556">
        <f>SUBTOTAL(9,H79:H82)</f>
        <v>2400</v>
      </c>
      <c r="J83" s="629"/>
      <c r="K83" s="623">
        <f t="shared" ref="K83:W83" si="22">SUBTOTAL(9,K79:K82)</f>
        <v>200</v>
      </c>
      <c r="L83" s="623">
        <f t="shared" si="22"/>
        <v>200</v>
      </c>
      <c r="M83" s="623">
        <f t="shared" si="22"/>
        <v>200</v>
      </c>
      <c r="N83" s="623">
        <f t="shared" si="22"/>
        <v>200</v>
      </c>
      <c r="O83" s="623">
        <f t="shared" si="22"/>
        <v>200</v>
      </c>
      <c r="P83" s="623">
        <f t="shared" si="22"/>
        <v>200</v>
      </c>
      <c r="Q83" s="623">
        <f t="shared" si="22"/>
        <v>200</v>
      </c>
      <c r="R83" s="623">
        <f t="shared" si="22"/>
        <v>200</v>
      </c>
      <c r="S83" s="623">
        <f t="shared" si="22"/>
        <v>200</v>
      </c>
      <c r="T83" s="623">
        <f t="shared" si="22"/>
        <v>200</v>
      </c>
      <c r="U83" s="623">
        <f t="shared" si="22"/>
        <v>200</v>
      </c>
      <c r="V83" s="623">
        <f t="shared" si="22"/>
        <v>200</v>
      </c>
      <c r="W83" s="556">
        <f t="shared" si="22"/>
        <v>2400</v>
      </c>
      <c r="X83" s="63" t="str">
        <f>IF(H83=W83,"OK","Error")</f>
        <v>OK</v>
      </c>
      <c r="Y83" s="289">
        <v>0</v>
      </c>
      <c r="Z83" s="289">
        <f>H83-Y83</f>
        <v>2400</v>
      </c>
    </row>
    <row r="84" spans="3:26" s="63" customFormat="1" ht="12" outlineLevel="1" x14ac:dyDescent="0.2">
      <c r="C84" s="64"/>
      <c r="D84" s="294"/>
      <c r="E84" s="301"/>
      <c r="F84" s="281"/>
      <c r="G84" s="678"/>
      <c r="H84" s="552"/>
      <c r="J84" s="622"/>
      <c r="K84" s="560"/>
      <c r="L84" s="560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52"/>
      <c r="Y84" s="289"/>
      <c r="Z84" s="289"/>
    </row>
    <row r="85" spans="3:26" s="63" customFormat="1" ht="12" outlineLevel="1" x14ac:dyDescent="0.2">
      <c r="C85" s="208">
        <v>6420</v>
      </c>
      <c r="D85" s="294"/>
      <c r="E85" s="301" t="s">
        <v>20</v>
      </c>
      <c r="F85" s="281"/>
      <c r="G85" s="678"/>
      <c r="H85" s="552"/>
      <c r="J85" s="622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0"/>
      <c r="W85" s="552"/>
      <c r="Y85" s="289"/>
      <c r="Z85" s="289"/>
    </row>
    <row r="86" spans="3:26" s="63" customFormat="1" ht="12" outlineLevel="1" x14ac:dyDescent="0.2">
      <c r="C86" s="64"/>
      <c r="D86" s="567" t="s">
        <v>274</v>
      </c>
      <c r="E86" s="568" t="s">
        <v>558</v>
      </c>
      <c r="F86" s="576">
        <v>12</v>
      </c>
      <c r="G86" s="613">
        <v>475</v>
      </c>
      <c r="H86" s="618">
        <f t="shared" ref="H86:H93" si="23">IF(J86="NO", F86*G86,SUM(J86:V86))</f>
        <v>5700</v>
      </c>
      <c r="J86" s="625" t="s">
        <v>542</v>
      </c>
      <c r="K86" s="611">
        <f>$G$86*$F$86/12</f>
        <v>475</v>
      </c>
      <c r="L86" s="611">
        <f t="shared" ref="L86:V86" si="24">$G$86*$F$86/12</f>
        <v>475</v>
      </c>
      <c r="M86" s="611">
        <f t="shared" si="24"/>
        <v>475</v>
      </c>
      <c r="N86" s="611">
        <f t="shared" si="24"/>
        <v>475</v>
      </c>
      <c r="O86" s="611">
        <f t="shared" si="24"/>
        <v>475</v>
      </c>
      <c r="P86" s="611">
        <f t="shared" si="24"/>
        <v>475</v>
      </c>
      <c r="Q86" s="611">
        <f t="shared" si="24"/>
        <v>475</v>
      </c>
      <c r="R86" s="611">
        <f t="shared" si="24"/>
        <v>475</v>
      </c>
      <c r="S86" s="611">
        <f t="shared" si="24"/>
        <v>475</v>
      </c>
      <c r="T86" s="611">
        <f t="shared" si="24"/>
        <v>475</v>
      </c>
      <c r="U86" s="611">
        <f t="shared" si="24"/>
        <v>475</v>
      </c>
      <c r="V86" s="611">
        <f t="shared" si="24"/>
        <v>475</v>
      </c>
      <c r="W86" s="618">
        <f t="shared" ref="W86:W93" si="25">SUM(K86:V86)</f>
        <v>5700</v>
      </c>
      <c r="Y86" s="289"/>
      <c r="Z86" s="289"/>
    </row>
    <row r="87" spans="3:26" s="63" customFormat="1" ht="12" outlineLevel="1" x14ac:dyDescent="0.2">
      <c r="C87" s="64"/>
      <c r="D87" s="567" t="s">
        <v>274</v>
      </c>
      <c r="E87" s="568" t="s">
        <v>559</v>
      </c>
      <c r="F87" s="576">
        <v>4</v>
      </c>
      <c r="G87" s="613">
        <v>250</v>
      </c>
      <c r="H87" s="618">
        <f t="shared" si="23"/>
        <v>1000</v>
      </c>
      <c r="J87" s="625" t="s">
        <v>543</v>
      </c>
      <c r="K87" s="611">
        <v>0</v>
      </c>
      <c r="L87" s="611">
        <v>0</v>
      </c>
      <c r="M87" s="611">
        <v>250</v>
      </c>
      <c r="N87" s="611">
        <v>0</v>
      </c>
      <c r="O87" s="611">
        <v>0</v>
      </c>
      <c r="P87" s="611">
        <v>250</v>
      </c>
      <c r="Q87" s="611">
        <v>0</v>
      </c>
      <c r="R87" s="611">
        <v>0</v>
      </c>
      <c r="S87" s="611">
        <v>250</v>
      </c>
      <c r="T87" s="611">
        <v>0</v>
      </c>
      <c r="U87" s="611">
        <v>0</v>
      </c>
      <c r="V87" s="611">
        <v>250</v>
      </c>
      <c r="W87" s="618">
        <f t="shared" si="25"/>
        <v>1000</v>
      </c>
      <c r="Y87" s="289"/>
      <c r="Z87" s="289"/>
    </row>
    <row r="88" spans="3:26" s="63" customFormat="1" ht="12" outlineLevel="1" x14ac:dyDescent="0.2">
      <c r="C88" s="64"/>
      <c r="D88" s="567" t="s">
        <v>274</v>
      </c>
      <c r="E88" s="568" t="s">
        <v>560</v>
      </c>
      <c r="F88" s="576">
        <v>1</v>
      </c>
      <c r="G88" s="613">
        <v>600</v>
      </c>
      <c r="H88" s="618">
        <f t="shared" si="23"/>
        <v>600</v>
      </c>
      <c r="J88" s="625" t="s">
        <v>543</v>
      </c>
      <c r="K88" s="611">
        <v>0</v>
      </c>
      <c r="L88" s="611">
        <v>0</v>
      </c>
      <c r="M88" s="611">
        <v>600</v>
      </c>
      <c r="N88" s="611">
        <v>0</v>
      </c>
      <c r="O88" s="611">
        <v>0</v>
      </c>
      <c r="P88" s="611">
        <v>0</v>
      </c>
      <c r="Q88" s="611">
        <v>0</v>
      </c>
      <c r="R88" s="611">
        <v>0</v>
      </c>
      <c r="S88" s="611">
        <v>0</v>
      </c>
      <c r="T88" s="611">
        <v>0</v>
      </c>
      <c r="U88" s="611">
        <v>0</v>
      </c>
      <c r="V88" s="611">
        <v>0</v>
      </c>
      <c r="W88" s="618">
        <f t="shared" si="25"/>
        <v>600</v>
      </c>
      <c r="Y88" s="289"/>
      <c r="Z88" s="289"/>
    </row>
    <row r="89" spans="3:26" s="63" customFormat="1" ht="12" outlineLevel="1" x14ac:dyDescent="0.2">
      <c r="C89" s="64"/>
      <c r="D89" s="567" t="s">
        <v>274</v>
      </c>
      <c r="E89" s="568" t="s">
        <v>561</v>
      </c>
      <c r="F89" s="576">
        <v>12</v>
      </c>
      <c r="G89" s="613">
        <v>150</v>
      </c>
      <c r="H89" s="618">
        <f t="shared" si="23"/>
        <v>1800</v>
      </c>
      <c r="J89" s="630" t="s">
        <v>542</v>
      </c>
      <c r="K89" s="611">
        <f>$G$89*$F$89/12</f>
        <v>150</v>
      </c>
      <c r="L89" s="611">
        <f t="shared" ref="L89:V89" si="26">$G$89*$F$89/12</f>
        <v>150</v>
      </c>
      <c r="M89" s="611">
        <f t="shared" si="26"/>
        <v>150</v>
      </c>
      <c r="N89" s="611">
        <f t="shared" si="26"/>
        <v>150</v>
      </c>
      <c r="O89" s="611">
        <f t="shared" si="26"/>
        <v>150</v>
      </c>
      <c r="P89" s="611">
        <f t="shared" si="26"/>
        <v>150</v>
      </c>
      <c r="Q89" s="611">
        <f t="shared" si="26"/>
        <v>150</v>
      </c>
      <c r="R89" s="611">
        <f t="shared" si="26"/>
        <v>150</v>
      </c>
      <c r="S89" s="611">
        <f t="shared" si="26"/>
        <v>150</v>
      </c>
      <c r="T89" s="611">
        <f t="shared" si="26"/>
        <v>150</v>
      </c>
      <c r="U89" s="611">
        <f t="shared" si="26"/>
        <v>150</v>
      </c>
      <c r="V89" s="611">
        <f t="shared" si="26"/>
        <v>150</v>
      </c>
      <c r="W89" s="618">
        <f t="shared" si="25"/>
        <v>1800</v>
      </c>
      <c r="Y89" s="289"/>
      <c r="Z89" s="289"/>
    </row>
    <row r="90" spans="3:26" s="63" customFormat="1" ht="12" outlineLevel="1" x14ac:dyDescent="0.2">
      <c r="C90" s="64"/>
      <c r="D90" s="564" t="s">
        <v>607</v>
      </c>
      <c r="E90" s="565" t="s">
        <v>608</v>
      </c>
      <c r="F90" s="566">
        <v>12</v>
      </c>
      <c r="G90" s="612">
        <v>100</v>
      </c>
      <c r="H90" s="618">
        <f t="shared" si="23"/>
        <v>1200</v>
      </c>
      <c r="J90" s="626" t="s">
        <v>542</v>
      </c>
      <c r="K90" s="612">
        <f t="shared" ref="K90:V93" si="27">$F90*$G90/12</f>
        <v>100</v>
      </c>
      <c r="L90" s="612">
        <f t="shared" si="27"/>
        <v>100</v>
      </c>
      <c r="M90" s="612">
        <f t="shared" si="27"/>
        <v>100</v>
      </c>
      <c r="N90" s="612">
        <f t="shared" si="27"/>
        <v>100</v>
      </c>
      <c r="O90" s="612">
        <f t="shared" si="27"/>
        <v>100</v>
      </c>
      <c r="P90" s="612">
        <f t="shared" si="27"/>
        <v>100</v>
      </c>
      <c r="Q90" s="612">
        <f t="shared" si="27"/>
        <v>100</v>
      </c>
      <c r="R90" s="612">
        <f t="shared" si="27"/>
        <v>100</v>
      </c>
      <c r="S90" s="612">
        <f t="shared" si="27"/>
        <v>100</v>
      </c>
      <c r="T90" s="612">
        <f t="shared" si="27"/>
        <v>100</v>
      </c>
      <c r="U90" s="612">
        <f t="shared" si="27"/>
        <v>100</v>
      </c>
      <c r="V90" s="612">
        <f t="shared" si="27"/>
        <v>100</v>
      </c>
      <c r="W90" s="618">
        <f t="shared" si="25"/>
        <v>1200</v>
      </c>
      <c r="Y90" s="289"/>
      <c r="Z90" s="289"/>
    </row>
    <row r="91" spans="3:26" s="63" customFormat="1" ht="12" outlineLevel="1" x14ac:dyDescent="0.2">
      <c r="C91" s="64"/>
      <c r="D91" s="564" t="s">
        <v>607</v>
      </c>
      <c r="E91" s="565" t="s">
        <v>609</v>
      </c>
      <c r="F91" s="566">
        <v>1</v>
      </c>
      <c r="G91" s="612">
        <v>1000</v>
      </c>
      <c r="H91" s="618">
        <f t="shared" si="23"/>
        <v>1000</v>
      </c>
      <c r="J91" s="626" t="s">
        <v>542</v>
      </c>
      <c r="K91" s="612">
        <f t="shared" si="27"/>
        <v>83.333333333333329</v>
      </c>
      <c r="L91" s="612">
        <f t="shared" si="27"/>
        <v>83.333333333333329</v>
      </c>
      <c r="M91" s="612">
        <f t="shared" si="27"/>
        <v>83.333333333333329</v>
      </c>
      <c r="N91" s="612">
        <f t="shared" si="27"/>
        <v>83.333333333333329</v>
      </c>
      <c r="O91" s="612">
        <f t="shared" si="27"/>
        <v>83.333333333333329</v>
      </c>
      <c r="P91" s="612">
        <f t="shared" si="27"/>
        <v>83.333333333333329</v>
      </c>
      <c r="Q91" s="612">
        <f t="shared" si="27"/>
        <v>83.333333333333329</v>
      </c>
      <c r="R91" s="612">
        <f t="shared" si="27"/>
        <v>83.333333333333329</v>
      </c>
      <c r="S91" s="612">
        <f t="shared" si="27"/>
        <v>83.333333333333329</v>
      </c>
      <c r="T91" s="612">
        <f t="shared" si="27"/>
        <v>83.333333333333329</v>
      </c>
      <c r="U91" s="612">
        <f t="shared" si="27"/>
        <v>83.333333333333329</v>
      </c>
      <c r="V91" s="612">
        <f t="shared" si="27"/>
        <v>83.333333333333329</v>
      </c>
      <c r="W91" s="618">
        <f t="shared" si="25"/>
        <v>1000.0000000000001</v>
      </c>
      <c r="Y91" s="289"/>
      <c r="Z91" s="289"/>
    </row>
    <row r="92" spans="3:26" s="63" customFormat="1" ht="12" outlineLevel="1" x14ac:dyDescent="0.2">
      <c r="C92" s="64"/>
      <c r="D92" s="564" t="s">
        <v>258</v>
      </c>
      <c r="E92" s="565" t="s">
        <v>515</v>
      </c>
      <c r="F92" s="566">
        <v>0</v>
      </c>
      <c r="G92" s="612"/>
      <c r="H92" s="618">
        <f t="shared" si="23"/>
        <v>0</v>
      </c>
      <c r="J92" s="626" t="s">
        <v>542</v>
      </c>
      <c r="K92" s="612">
        <f t="shared" si="27"/>
        <v>0</v>
      </c>
      <c r="L92" s="612">
        <f t="shared" si="27"/>
        <v>0</v>
      </c>
      <c r="M92" s="612">
        <f t="shared" si="27"/>
        <v>0</v>
      </c>
      <c r="N92" s="612">
        <f t="shared" si="27"/>
        <v>0</v>
      </c>
      <c r="O92" s="612">
        <f t="shared" si="27"/>
        <v>0</v>
      </c>
      <c r="P92" s="612">
        <f t="shared" si="27"/>
        <v>0</v>
      </c>
      <c r="Q92" s="612">
        <f t="shared" si="27"/>
        <v>0</v>
      </c>
      <c r="R92" s="612">
        <f t="shared" si="27"/>
        <v>0</v>
      </c>
      <c r="S92" s="612">
        <f t="shared" si="27"/>
        <v>0</v>
      </c>
      <c r="T92" s="612">
        <f t="shared" si="27"/>
        <v>0</v>
      </c>
      <c r="U92" s="612">
        <f t="shared" si="27"/>
        <v>0</v>
      </c>
      <c r="V92" s="612">
        <f t="shared" si="27"/>
        <v>0</v>
      </c>
      <c r="W92" s="618">
        <f t="shared" si="25"/>
        <v>0</v>
      </c>
      <c r="Y92" s="289"/>
      <c r="Z92" s="289"/>
    </row>
    <row r="93" spans="3:26" s="63" customFormat="1" ht="12" outlineLevel="1" x14ac:dyDescent="0.2">
      <c r="C93" s="64"/>
      <c r="D93" s="564" t="s">
        <v>258</v>
      </c>
      <c r="E93" s="565"/>
      <c r="F93" s="566">
        <v>0</v>
      </c>
      <c r="G93" s="612"/>
      <c r="H93" s="618">
        <f t="shared" si="23"/>
        <v>0</v>
      </c>
      <c r="J93" s="626" t="s">
        <v>542</v>
      </c>
      <c r="K93" s="612">
        <f t="shared" si="27"/>
        <v>0</v>
      </c>
      <c r="L93" s="612">
        <f t="shared" si="27"/>
        <v>0</v>
      </c>
      <c r="M93" s="612">
        <f t="shared" si="27"/>
        <v>0</v>
      </c>
      <c r="N93" s="612">
        <f t="shared" si="27"/>
        <v>0</v>
      </c>
      <c r="O93" s="612">
        <f t="shared" si="27"/>
        <v>0</v>
      </c>
      <c r="P93" s="612">
        <f t="shared" si="27"/>
        <v>0</v>
      </c>
      <c r="Q93" s="612">
        <f t="shared" si="27"/>
        <v>0</v>
      </c>
      <c r="R93" s="612">
        <f t="shared" si="27"/>
        <v>0</v>
      </c>
      <c r="S93" s="612">
        <f t="shared" si="27"/>
        <v>0</v>
      </c>
      <c r="T93" s="612">
        <f t="shared" si="27"/>
        <v>0</v>
      </c>
      <c r="U93" s="612">
        <f t="shared" si="27"/>
        <v>0</v>
      </c>
      <c r="V93" s="612">
        <f t="shared" si="27"/>
        <v>0</v>
      </c>
      <c r="W93" s="618">
        <f t="shared" si="25"/>
        <v>0</v>
      </c>
      <c r="Y93" s="289"/>
      <c r="Z93" s="289"/>
    </row>
    <row r="94" spans="3:26" s="63" customFormat="1" ht="3.6" customHeight="1" outlineLevel="1" thickBot="1" x14ac:dyDescent="0.25">
      <c r="C94" s="64"/>
      <c r="D94" s="296"/>
      <c r="E94" s="302"/>
      <c r="F94" s="283"/>
      <c r="G94" s="619"/>
      <c r="H94" s="555"/>
      <c r="J94" s="627"/>
      <c r="K94" s="562"/>
      <c r="L94" s="562"/>
      <c r="M94" s="562"/>
      <c r="N94" s="562"/>
      <c r="O94" s="562"/>
      <c r="P94" s="562"/>
      <c r="Q94" s="562"/>
      <c r="R94" s="562"/>
      <c r="S94" s="562"/>
      <c r="T94" s="562"/>
      <c r="U94" s="562"/>
      <c r="V94" s="562"/>
      <c r="W94" s="555"/>
      <c r="Y94" s="289"/>
      <c r="Z94" s="289"/>
    </row>
    <row r="95" spans="3:26" s="63" customFormat="1" ht="12.75" thickBot="1" x14ac:dyDescent="0.25">
      <c r="C95" s="64"/>
      <c r="D95" s="294"/>
      <c r="E95" s="301"/>
      <c r="F95" s="284" t="str">
        <f>E85</f>
        <v>Cleaning Services</v>
      </c>
      <c r="G95" s="679">
        <f>C85</f>
        <v>6420</v>
      </c>
      <c r="H95" s="556">
        <f>SUBTOTAL(9,H86:H94)</f>
        <v>11300</v>
      </c>
      <c r="J95" s="629"/>
      <c r="K95" s="623">
        <f t="shared" ref="K95:W95" si="28">SUBTOTAL(9,K86:K94)</f>
        <v>808.33333333333337</v>
      </c>
      <c r="L95" s="623">
        <f t="shared" si="28"/>
        <v>808.33333333333337</v>
      </c>
      <c r="M95" s="623">
        <f t="shared" si="28"/>
        <v>1658.3333333333333</v>
      </c>
      <c r="N95" s="623">
        <f t="shared" si="28"/>
        <v>808.33333333333337</v>
      </c>
      <c r="O95" s="623">
        <f t="shared" si="28"/>
        <v>808.33333333333337</v>
      </c>
      <c r="P95" s="623">
        <f t="shared" si="28"/>
        <v>1058.3333333333333</v>
      </c>
      <c r="Q95" s="623">
        <f t="shared" si="28"/>
        <v>808.33333333333337</v>
      </c>
      <c r="R95" s="623">
        <f t="shared" si="28"/>
        <v>808.33333333333337</v>
      </c>
      <c r="S95" s="623">
        <f t="shared" si="28"/>
        <v>1058.3333333333333</v>
      </c>
      <c r="T95" s="623">
        <f t="shared" si="28"/>
        <v>808.33333333333337</v>
      </c>
      <c r="U95" s="623">
        <f t="shared" si="28"/>
        <v>808.33333333333337</v>
      </c>
      <c r="V95" s="623">
        <f t="shared" si="28"/>
        <v>1058.3333333333333</v>
      </c>
      <c r="W95" s="556">
        <f t="shared" si="28"/>
        <v>11300</v>
      </c>
      <c r="X95" s="63" t="str">
        <f>IF(H95=W95,"OK","Error")</f>
        <v>OK</v>
      </c>
      <c r="Y95" s="289">
        <v>0</v>
      </c>
      <c r="Z95" s="289">
        <f>H95-Y95</f>
        <v>11300</v>
      </c>
    </row>
    <row r="96" spans="3:26" s="63" customFormat="1" ht="12" outlineLevel="1" x14ac:dyDescent="0.2">
      <c r="C96" s="64"/>
      <c r="D96" s="294"/>
      <c r="E96" s="301"/>
      <c r="F96" s="281"/>
      <c r="G96" s="678"/>
      <c r="H96" s="552"/>
      <c r="J96" s="622"/>
      <c r="K96" s="560"/>
      <c r="L96" s="560"/>
      <c r="M96" s="560"/>
      <c r="N96" s="560"/>
      <c r="O96" s="560"/>
      <c r="P96" s="560"/>
      <c r="Q96" s="560"/>
      <c r="R96" s="560"/>
      <c r="S96" s="560"/>
      <c r="T96" s="560"/>
      <c r="U96" s="560"/>
      <c r="V96" s="560"/>
      <c r="W96" s="552"/>
      <c r="Y96" s="289"/>
      <c r="Z96" s="289"/>
    </row>
    <row r="97" spans="3:26" s="63" customFormat="1" ht="12" outlineLevel="1" x14ac:dyDescent="0.2">
      <c r="C97" s="208">
        <v>6430</v>
      </c>
      <c r="D97" s="294"/>
      <c r="E97" s="301" t="s">
        <v>21</v>
      </c>
      <c r="F97" s="281"/>
      <c r="G97" s="678"/>
      <c r="H97" s="552"/>
      <c r="J97" s="622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52"/>
      <c r="Y97" s="289"/>
      <c r="Z97" s="289"/>
    </row>
    <row r="98" spans="3:26" s="63" customFormat="1" ht="12" outlineLevel="1" x14ac:dyDescent="0.2">
      <c r="C98" s="64"/>
      <c r="D98" s="567" t="s">
        <v>274</v>
      </c>
      <c r="E98" s="568" t="s">
        <v>516</v>
      </c>
      <c r="F98" s="576">
        <v>1</v>
      </c>
      <c r="G98" s="613">
        <v>125</v>
      </c>
      <c r="H98" s="618">
        <f t="shared" ref="H98:H109" si="29">IF(J98="NO", F98*G98,SUM(J98:V98))</f>
        <v>125</v>
      </c>
      <c r="J98" s="630" t="s">
        <v>543</v>
      </c>
      <c r="K98" s="611">
        <v>0</v>
      </c>
      <c r="L98" s="611">
        <v>0</v>
      </c>
      <c r="M98" s="611">
        <v>0</v>
      </c>
      <c r="N98" s="611">
        <v>0</v>
      </c>
      <c r="O98" s="611">
        <v>0</v>
      </c>
      <c r="P98" s="611">
        <v>0</v>
      </c>
      <c r="Q98" s="611">
        <v>0</v>
      </c>
      <c r="R98" s="611">
        <v>0</v>
      </c>
      <c r="S98" s="611">
        <v>0</v>
      </c>
      <c r="T98" s="611">
        <v>0</v>
      </c>
      <c r="U98" s="611">
        <v>125</v>
      </c>
      <c r="V98" s="611">
        <v>0</v>
      </c>
      <c r="W98" s="618">
        <f t="shared" ref="W98:W109" si="30">SUM(K98:V98)</f>
        <v>125</v>
      </c>
      <c r="Y98" s="289"/>
      <c r="Z98" s="289"/>
    </row>
    <row r="99" spans="3:26" s="63" customFormat="1" ht="12" outlineLevel="1" x14ac:dyDescent="0.2">
      <c r="C99" s="64"/>
      <c r="D99" s="567" t="s">
        <v>274</v>
      </c>
      <c r="E99" s="568" t="s">
        <v>562</v>
      </c>
      <c r="F99" s="576">
        <v>12</v>
      </c>
      <c r="G99" s="613">
        <v>50</v>
      </c>
      <c r="H99" s="618">
        <f t="shared" si="29"/>
        <v>600</v>
      </c>
      <c r="J99" s="630" t="s">
        <v>542</v>
      </c>
      <c r="K99" s="611">
        <f t="shared" ref="K99:V99" si="31">$F99*$G99/12</f>
        <v>50</v>
      </c>
      <c r="L99" s="611">
        <f t="shared" si="31"/>
        <v>50</v>
      </c>
      <c r="M99" s="611">
        <f t="shared" si="31"/>
        <v>50</v>
      </c>
      <c r="N99" s="611">
        <f t="shared" si="31"/>
        <v>50</v>
      </c>
      <c r="O99" s="611">
        <f t="shared" si="31"/>
        <v>50</v>
      </c>
      <c r="P99" s="611">
        <f t="shared" si="31"/>
        <v>50</v>
      </c>
      <c r="Q99" s="611">
        <f t="shared" si="31"/>
        <v>50</v>
      </c>
      <c r="R99" s="611">
        <f t="shared" si="31"/>
        <v>50</v>
      </c>
      <c r="S99" s="611">
        <f t="shared" si="31"/>
        <v>50</v>
      </c>
      <c r="T99" s="611">
        <f t="shared" si="31"/>
        <v>50</v>
      </c>
      <c r="U99" s="611">
        <f t="shared" si="31"/>
        <v>50</v>
      </c>
      <c r="V99" s="611">
        <f t="shared" si="31"/>
        <v>50</v>
      </c>
      <c r="W99" s="618">
        <f t="shared" si="30"/>
        <v>600</v>
      </c>
      <c r="Y99" s="289"/>
      <c r="Z99" s="289"/>
    </row>
    <row r="100" spans="3:26" s="63" customFormat="1" ht="12" outlineLevel="1" x14ac:dyDescent="0.2">
      <c r="C100" s="64"/>
      <c r="D100" s="567" t="s">
        <v>274</v>
      </c>
      <c r="E100" s="568" t="s">
        <v>563</v>
      </c>
      <c r="F100" s="576">
        <v>4</v>
      </c>
      <c r="G100" s="613">
        <v>250</v>
      </c>
      <c r="H100" s="618">
        <f t="shared" si="29"/>
        <v>1000</v>
      </c>
      <c r="J100" s="630" t="s">
        <v>543</v>
      </c>
      <c r="K100" s="611">
        <v>0</v>
      </c>
      <c r="L100" s="611">
        <v>0</v>
      </c>
      <c r="M100" s="611">
        <v>250</v>
      </c>
      <c r="N100" s="611">
        <v>0</v>
      </c>
      <c r="O100" s="611">
        <v>0</v>
      </c>
      <c r="P100" s="611">
        <v>250</v>
      </c>
      <c r="Q100" s="611">
        <v>0</v>
      </c>
      <c r="R100" s="611">
        <v>0</v>
      </c>
      <c r="S100" s="611">
        <v>250</v>
      </c>
      <c r="T100" s="611">
        <v>0</v>
      </c>
      <c r="U100" s="611">
        <v>0</v>
      </c>
      <c r="V100" s="611">
        <v>250</v>
      </c>
      <c r="W100" s="618">
        <f t="shared" si="30"/>
        <v>1000</v>
      </c>
      <c r="Y100" s="289"/>
      <c r="Z100" s="289"/>
    </row>
    <row r="101" spans="3:26" s="63" customFormat="1" ht="12" outlineLevel="1" x14ac:dyDescent="0.2">
      <c r="C101" s="64"/>
      <c r="D101" s="567" t="s">
        <v>274</v>
      </c>
      <c r="E101" s="568" t="s">
        <v>564</v>
      </c>
      <c r="F101" s="576">
        <v>4</v>
      </c>
      <c r="G101" s="613">
        <v>200</v>
      </c>
      <c r="H101" s="618">
        <f t="shared" si="29"/>
        <v>800</v>
      </c>
      <c r="J101" s="630" t="s">
        <v>543</v>
      </c>
      <c r="K101" s="611">
        <v>0</v>
      </c>
      <c r="L101" s="611">
        <v>0</v>
      </c>
      <c r="M101" s="611">
        <v>200</v>
      </c>
      <c r="N101" s="611">
        <v>0</v>
      </c>
      <c r="O101" s="611">
        <v>0</v>
      </c>
      <c r="P101" s="611">
        <v>200</v>
      </c>
      <c r="Q101" s="611">
        <v>0</v>
      </c>
      <c r="R101" s="611">
        <v>0</v>
      </c>
      <c r="S101" s="611">
        <v>200</v>
      </c>
      <c r="T101" s="611">
        <v>0</v>
      </c>
      <c r="U101" s="611">
        <v>0</v>
      </c>
      <c r="V101" s="611">
        <v>200</v>
      </c>
      <c r="W101" s="618">
        <f t="shared" si="30"/>
        <v>800</v>
      </c>
      <c r="Y101" s="289"/>
      <c r="Z101" s="289"/>
    </row>
    <row r="102" spans="3:26" s="63" customFormat="1" ht="12" outlineLevel="1" x14ac:dyDescent="0.2">
      <c r="C102" s="64"/>
      <c r="D102" s="567" t="s">
        <v>274</v>
      </c>
      <c r="E102" s="568" t="s">
        <v>565</v>
      </c>
      <c r="F102" s="576">
        <v>2</v>
      </c>
      <c r="G102" s="613">
        <v>800</v>
      </c>
      <c r="H102" s="618">
        <f t="shared" si="29"/>
        <v>1600</v>
      </c>
      <c r="J102" s="630" t="s">
        <v>543</v>
      </c>
      <c r="K102" s="611">
        <v>0</v>
      </c>
      <c r="L102" s="611">
        <v>0</v>
      </c>
      <c r="M102" s="611">
        <v>0</v>
      </c>
      <c r="N102" s="611">
        <v>800</v>
      </c>
      <c r="O102" s="611">
        <v>0</v>
      </c>
      <c r="P102" s="611">
        <v>0</v>
      </c>
      <c r="Q102" s="611">
        <v>0</v>
      </c>
      <c r="R102" s="611">
        <v>0</v>
      </c>
      <c r="S102" s="611">
        <v>0</v>
      </c>
      <c r="T102" s="611">
        <v>0</v>
      </c>
      <c r="U102" s="611">
        <v>800</v>
      </c>
      <c r="V102" s="611">
        <v>0</v>
      </c>
      <c r="W102" s="618">
        <f t="shared" si="30"/>
        <v>1600</v>
      </c>
      <c r="Y102" s="289"/>
      <c r="Z102" s="289"/>
    </row>
    <row r="103" spans="3:26" s="63" customFormat="1" ht="12" outlineLevel="1" x14ac:dyDescent="0.2">
      <c r="C103" s="64"/>
      <c r="D103" s="567" t="s">
        <v>274</v>
      </c>
      <c r="E103" s="568" t="s">
        <v>566</v>
      </c>
      <c r="F103" s="576">
        <v>1</v>
      </c>
      <c r="G103" s="613">
        <v>60</v>
      </c>
      <c r="H103" s="618">
        <f t="shared" si="29"/>
        <v>60</v>
      </c>
      <c r="J103" s="630" t="s">
        <v>543</v>
      </c>
      <c r="K103" s="611">
        <v>0</v>
      </c>
      <c r="L103" s="611">
        <v>0</v>
      </c>
      <c r="M103" s="611">
        <v>0</v>
      </c>
      <c r="N103" s="611">
        <v>60</v>
      </c>
      <c r="O103" s="611"/>
      <c r="P103" s="611">
        <v>0</v>
      </c>
      <c r="Q103" s="611">
        <v>0</v>
      </c>
      <c r="R103" s="611">
        <v>0</v>
      </c>
      <c r="S103" s="611">
        <v>0</v>
      </c>
      <c r="T103" s="611">
        <v>0</v>
      </c>
      <c r="U103" s="611">
        <v>0</v>
      </c>
      <c r="V103" s="611">
        <v>0</v>
      </c>
      <c r="W103" s="618">
        <f t="shared" si="30"/>
        <v>60</v>
      </c>
      <c r="Y103" s="289"/>
      <c r="Z103" s="289"/>
    </row>
    <row r="104" spans="3:26" s="63" customFormat="1" ht="12" outlineLevel="1" x14ac:dyDescent="0.2">
      <c r="C104" s="64"/>
      <c r="D104" s="564" t="s">
        <v>274</v>
      </c>
      <c r="E104" s="565" t="s">
        <v>610</v>
      </c>
      <c r="F104" s="566">
        <v>1</v>
      </c>
      <c r="G104" s="612">
        <v>20000</v>
      </c>
      <c r="H104" s="618">
        <f t="shared" si="29"/>
        <v>20000</v>
      </c>
      <c r="J104" s="626" t="s">
        <v>543</v>
      </c>
      <c r="K104" s="612">
        <v>20000</v>
      </c>
      <c r="L104" s="612">
        <v>0</v>
      </c>
      <c r="M104" s="612">
        <v>0</v>
      </c>
      <c r="N104" s="612">
        <v>0</v>
      </c>
      <c r="O104" s="612">
        <v>0</v>
      </c>
      <c r="P104" s="612">
        <v>0</v>
      </c>
      <c r="Q104" s="612">
        <v>0</v>
      </c>
      <c r="R104" s="612">
        <v>0</v>
      </c>
      <c r="S104" s="612">
        <v>0</v>
      </c>
      <c r="T104" s="612">
        <v>0</v>
      </c>
      <c r="U104" s="612">
        <v>0</v>
      </c>
      <c r="V104" s="612">
        <v>0</v>
      </c>
      <c r="W104" s="618">
        <f t="shared" si="30"/>
        <v>20000</v>
      </c>
      <c r="Y104" s="289"/>
      <c r="Z104" s="289"/>
    </row>
    <row r="105" spans="3:26" s="63" customFormat="1" ht="12" outlineLevel="1" x14ac:dyDescent="0.2">
      <c r="C105" s="64"/>
      <c r="D105" s="564" t="s">
        <v>274</v>
      </c>
      <c r="E105" s="565" t="s">
        <v>611</v>
      </c>
      <c r="F105" s="566">
        <v>1</v>
      </c>
      <c r="G105" s="612">
        <v>3000</v>
      </c>
      <c r="H105" s="618">
        <f t="shared" si="29"/>
        <v>3000</v>
      </c>
      <c r="J105" s="626" t="s">
        <v>543</v>
      </c>
      <c r="K105" s="612">
        <v>3000</v>
      </c>
      <c r="L105" s="612">
        <v>0</v>
      </c>
      <c r="M105" s="612">
        <v>0</v>
      </c>
      <c r="N105" s="612">
        <v>0</v>
      </c>
      <c r="O105" s="612">
        <v>0</v>
      </c>
      <c r="P105" s="612">
        <v>0</v>
      </c>
      <c r="Q105" s="612">
        <v>0</v>
      </c>
      <c r="R105" s="612">
        <v>0</v>
      </c>
      <c r="S105" s="612">
        <v>0</v>
      </c>
      <c r="T105" s="612">
        <v>0</v>
      </c>
      <c r="U105" s="612">
        <v>0</v>
      </c>
      <c r="V105" s="612">
        <v>0</v>
      </c>
      <c r="W105" s="618">
        <f t="shared" si="30"/>
        <v>3000</v>
      </c>
      <c r="Y105" s="289"/>
      <c r="Z105" s="289"/>
    </row>
    <row r="106" spans="3:26" s="63" customFormat="1" ht="12" outlineLevel="1" x14ac:dyDescent="0.2">
      <c r="C106" s="64"/>
      <c r="D106" s="564" t="s">
        <v>274</v>
      </c>
      <c r="E106" s="565" t="s">
        <v>634</v>
      </c>
      <c r="F106" s="566">
        <v>1</v>
      </c>
      <c r="G106" s="612">
        <v>30000</v>
      </c>
      <c r="H106" s="618">
        <f t="shared" ref="H106" si="32">IF(J106="NO", F106*G106,SUM(J106:V106))</f>
        <v>30000</v>
      </c>
      <c r="J106" s="626" t="s">
        <v>543</v>
      </c>
      <c r="K106" s="612">
        <v>30000</v>
      </c>
      <c r="L106" s="612">
        <v>0</v>
      </c>
      <c r="M106" s="612">
        <v>0</v>
      </c>
      <c r="N106" s="612">
        <v>0</v>
      </c>
      <c r="O106" s="612">
        <v>0</v>
      </c>
      <c r="P106" s="612">
        <v>0</v>
      </c>
      <c r="Q106" s="612">
        <v>0</v>
      </c>
      <c r="R106" s="612">
        <v>0</v>
      </c>
      <c r="S106" s="612">
        <v>0</v>
      </c>
      <c r="T106" s="612">
        <v>0</v>
      </c>
      <c r="U106" s="612">
        <v>0</v>
      </c>
      <c r="V106" s="612">
        <v>0</v>
      </c>
      <c r="W106" s="618">
        <f t="shared" ref="W106" si="33">SUM(K106:V106)</f>
        <v>30000</v>
      </c>
      <c r="Y106" s="289"/>
      <c r="Z106" s="289"/>
    </row>
    <row r="107" spans="3:26" s="63" customFormat="1" ht="12" outlineLevel="1" x14ac:dyDescent="0.2">
      <c r="C107" s="64"/>
      <c r="D107" s="564" t="s">
        <v>274</v>
      </c>
      <c r="E107" s="565" t="s">
        <v>612</v>
      </c>
      <c r="F107" s="566">
        <v>2</v>
      </c>
      <c r="G107" s="612">
        <v>60</v>
      </c>
      <c r="H107" s="618">
        <f t="shared" si="29"/>
        <v>120</v>
      </c>
      <c r="J107" s="626" t="s">
        <v>543</v>
      </c>
      <c r="K107" s="612">
        <v>120</v>
      </c>
      <c r="L107" s="612">
        <v>0</v>
      </c>
      <c r="M107" s="612">
        <v>0</v>
      </c>
      <c r="N107" s="612">
        <v>0</v>
      </c>
      <c r="O107" s="612">
        <v>0</v>
      </c>
      <c r="P107" s="612">
        <v>0</v>
      </c>
      <c r="Q107" s="612">
        <v>0</v>
      </c>
      <c r="R107" s="612">
        <v>0</v>
      </c>
      <c r="S107" s="612">
        <v>0</v>
      </c>
      <c r="T107" s="612">
        <v>0</v>
      </c>
      <c r="U107" s="612">
        <v>0</v>
      </c>
      <c r="V107" s="612">
        <v>0</v>
      </c>
      <c r="W107" s="618">
        <f t="shared" si="30"/>
        <v>120</v>
      </c>
      <c r="Y107" s="289"/>
      <c r="Z107" s="289"/>
    </row>
    <row r="108" spans="3:26" s="63" customFormat="1" ht="12" outlineLevel="1" x14ac:dyDescent="0.2">
      <c r="C108" s="64"/>
      <c r="D108" s="564" t="s">
        <v>258</v>
      </c>
      <c r="E108" s="565" t="s">
        <v>517</v>
      </c>
      <c r="F108" s="566">
        <v>0</v>
      </c>
      <c r="G108" s="612">
        <v>0</v>
      </c>
      <c r="H108" s="618">
        <f t="shared" si="29"/>
        <v>0</v>
      </c>
      <c r="J108" s="626" t="s">
        <v>542</v>
      </c>
      <c r="K108" s="612">
        <f t="shared" ref="K108:V109" si="34">$F108*$G108/12</f>
        <v>0</v>
      </c>
      <c r="L108" s="612">
        <f t="shared" si="34"/>
        <v>0</v>
      </c>
      <c r="M108" s="612">
        <f t="shared" si="34"/>
        <v>0</v>
      </c>
      <c r="N108" s="612">
        <f t="shared" si="34"/>
        <v>0</v>
      </c>
      <c r="O108" s="612">
        <f t="shared" si="34"/>
        <v>0</v>
      </c>
      <c r="P108" s="612">
        <f t="shared" si="34"/>
        <v>0</v>
      </c>
      <c r="Q108" s="612">
        <f t="shared" si="34"/>
        <v>0</v>
      </c>
      <c r="R108" s="612">
        <f t="shared" si="34"/>
        <v>0</v>
      </c>
      <c r="S108" s="612">
        <f t="shared" si="34"/>
        <v>0</v>
      </c>
      <c r="T108" s="612">
        <f t="shared" si="34"/>
        <v>0</v>
      </c>
      <c r="U108" s="612">
        <f t="shared" si="34"/>
        <v>0</v>
      </c>
      <c r="V108" s="612">
        <f t="shared" si="34"/>
        <v>0</v>
      </c>
      <c r="W108" s="618">
        <f t="shared" si="30"/>
        <v>0</v>
      </c>
      <c r="Y108" s="289"/>
      <c r="Z108" s="289"/>
    </row>
    <row r="109" spans="3:26" s="63" customFormat="1" ht="12" outlineLevel="1" x14ac:dyDescent="0.2">
      <c r="C109" s="64"/>
      <c r="D109" s="564" t="s">
        <v>258</v>
      </c>
      <c r="E109" s="565"/>
      <c r="F109" s="566">
        <v>0</v>
      </c>
      <c r="G109" s="612">
        <v>0</v>
      </c>
      <c r="H109" s="618">
        <f t="shared" si="29"/>
        <v>0</v>
      </c>
      <c r="J109" s="626" t="s">
        <v>542</v>
      </c>
      <c r="K109" s="612">
        <f t="shared" si="34"/>
        <v>0</v>
      </c>
      <c r="L109" s="612">
        <f t="shared" si="34"/>
        <v>0</v>
      </c>
      <c r="M109" s="612">
        <f t="shared" si="34"/>
        <v>0</v>
      </c>
      <c r="N109" s="612">
        <f t="shared" si="34"/>
        <v>0</v>
      </c>
      <c r="O109" s="612">
        <f t="shared" si="34"/>
        <v>0</v>
      </c>
      <c r="P109" s="612">
        <f t="shared" si="34"/>
        <v>0</v>
      </c>
      <c r="Q109" s="612">
        <f t="shared" si="34"/>
        <v>0</v>
      </c>
      <c r="R109" s="612">
        <f t="shared" si="34"/>
        <v>0</v>
      </c>
      <c r="S109" s="612">
        <f t="shared" si="34"/>
        <v>0</v>
      </c>
      <c r="T109" s="612">
        <f t="shared" si="34"/>
        <v>0</v>
      </c>
      <c r="U109" s="612">
        <f t="shared" si="34"/>
        <v>0</v>
      </c>
      <c r="V109" s="612">
        <f t="shared" si="34"/>
        <v>0</v>
      </c>
      <c r="W109" s="618">
        <f t="shared" si="30"/>
        <v>0</v>
      </c>
      <c r="Y109" s="289"/>
      <c r="Z109" s="289"/>
    </row>
    <row r="110" spans="3:26" s="63" customFormat="1" ht="3.6" customHeight="1" outlineLevel="1" thickBot="1" x14ac:dyDescent="0.25">
      <c r="C110" s="64"/>
      <c r="D110" s="296"/>
      <c r="E110" s="302"/>
      <c r="F110" s="283"/>
      <c r="G110" s="619"/>
      <c r="H110" s="555"/>
      <c r="J110" s="627"/>
      <c r="K110" s="562"/>
      <c r="L110" s="562"/>
      <c r="M110" s="562"/>
      <c r="N110" s="562"/>
      <c r="O110" s="562"/>
      <c r="P110" s="562"/>
      <c r="Q110" s="562"/>
      <c r="R110" s="562"/>
      <c r="S110" s="562"/>
      <c r="T110" s="562"/>
      <c r="U110" s="562"/>
      <c r="V110" s="562"/>
      <c r="W110" s="555"/>
      <c r="Y110" s="289"/>
      <c r="Z110" s="289"/>
    </row>
    <row r="111" spans="3:26" s="63" customFormat="1" ht="12.75" thickBot="1" x14ac:dyDescent="0.25">
      <c r="C111" s="64"/>
      <c r="D111" s="294"/>
      <c r="E111" s="301"/>
      <c r="F111" s="284" t="str">
        <f>E97</f>
        <v>Repairs and Maintenance Services</v>
      </c>
      <c r="G111" s="679">
        <f>C97</f>
        <v>6430</v>
      </c>
      <c r="H111" s="556">
        <f>SUBTOTAL(9,H98:H110)</f>
        <v>57305</v>
      </c>
      <c r="J111" s="629"/>
      <c r="K111" s="623">
        <f t="shared" ref="K111:W111" si="35">SUBTOTAL(9,K98:K110)</f>
        <v>53170</v>
      </c>
      <c r="L111" s="623">
        <f t="shared" si="35"/>
        <v>50</v>
      </c>
      <c r="M111" s="623">
        <f t="shared" si="35"/>
        <v>500</v>
      </c>
      <c r="N111" s="623">
        <f t="shared" si="35"/>
        <v>910</v>
      </c>
      <c r="O111" s="623">
        <f t="shared" si="35"/>
        <v>50</v>
      </c>
      <c r="P111" s="623">
        <f t="shared" si="35"/>
        <v>500</v>
      </c>
      <c r="Q111" s="623">
        <f t="shared" si="35"/>
        <v>50</v>
      </c>
      <c r="R111" s="623">
        <f t="shared" si="35"/>
        <v>50</v>
      </c>
      <c r="S111" s="623">
        <f t="shared" si="35"/>
        <v>500</v>
      </c>
      <c r="T111" s="623">
        <f t="shared" si="35"/>
        <v>50</v>
      </c>
      <c r="U111" s="623">
        <f t="shared" si="35"/>
        <v>975</v>
      </c>
      <c r="V111" s="623">
        <f t="shared" si="35"/>
        <v>500</v>
      </c>
      <c r="W111" s="556">
        <f t="shared" si="35"/>
        <v>57305</v>
      </c>
      <c r="X111" s="63" t="str">
        <f>IF(H111=W111,"OK","Error")</f>
        <v>OK</v>
      </c>
      <c r="Y111" s="289">
        <v>0</v>
      </c>
      <c r="Z111" s="289">
        <f>H111-Y111</f>
        <v>57305</v>
      </c>
    </row>
    <row r="112" spans="3:26" s="63" customFormat="1" ht="12" outlineLevel="1" x14ac:dyDescent="0.2">
      <c r="C112" s="64"/>
      <c r="D112" s="294"/>
      <c r="E112" s="301"/>
      <c r="F112" s="281"/>
      <c r="G112" s="678"/>
      <c r="H112" s="552"/>
      <c r="J112" s="622"/>
      <c r="K112" s="560"/>
      <c r="L112" s="560"/>
      <c r="M112" s="560"/>
      <c r="N112" s="560"/>
      <c r="O112" s="560"/>
      <c r="P112" s="560"/>
      <c r="Q112" s="560"/>
      <c r="R112" s="560"/>
      <c r="S112" s="560"/>
      <c r="T112" s="560"/>
      <c r="U112" s="560"/>
      <c r="V112" s="560"/>
      <c r="W112" s="552"/>
      <c r="Y112" s="289"/>
      <c r="Z112" s="289"/>
    </row>
    <row r="113" spans="3:30" s="63" customFormat="1" ht="12" outlineLevel="1" x14ac:dyDescent="0.2">
      <c r="C113" s="208">
        <v>6441</v>
      </c>
      <c r="D113" s="294"/>
      <c r="E113" s="301" t="s">
        <v>22</v>
      </c>
      <c r="F113" s="281"/>
      <c r="G113" s="678"/>
      <c r="H113" s="552"/>
      <c r="J113" s="622"/>
      <c r="K113" s="560"/>
      <c r="L113" s="560"/>
      <c r="M113" s="560"/>
      <c r="N113" s="560"/>
      <c r="O113" s="560"/>
      <c r="P113" s="560"/>
      <c r="Q113" s="560"/>
      <c r="R113" s="560"/>
      <c r="S113" s="560"/>
      <c r="T113" s="560"/>
      <c r="U113" s="560"/>
      <c r="V113" s="560"/>
      <c r="W113" s="552"/>
      <c r="Y113" s="289"/>
      <c r="Z113" s="289"/>
    </row>
    <row r="114" spans="3:30" s="63" customFormat="1" ht="12" outlineLevel="1" x14ac:dyDescent="0.2">
      <c r="C114" s="64"/>
      <c r="D114" s="567" t="s">
        <v>272</v>
      </c>
      <c r="E114" s="568" t="s">
        <v>613</v>
      </c>
      <c r="F114" s="576">
        <v>12</v>
      </c>
      <c r="G114" s="613">
        <v>9314.73</v>
      </c>
      <c r="H114" s="618">
        <f>IF(J114="NO", F114*G114,SUM(J114:V114))</f>
        <v>111776.79999999997</v>
      </c>
      <c r="J114" s="625" t="s">
        <v>543</v>
      </c>
      <c r="K114" s="611">
        <v>9103.09</v>
      </c>
      <c r="L114" s="611">
        <v>9103.09</v>
      </c>
      <c r="M114" s="611">
        <v>9103.09</v>
      </c>
      <c r="N114" s="611">
        <v>9103.09</v>
      </c>
      <c r="O114" s="611">
        <v>9103.09</v>
      </c>
      <c r="P114" s="611">
        <v>9103.09</v>
      </c>
      <c r="Q114" s="611">
        <v>9103.09</v>
      </c>
      <c r="R114" s="611">
        <v>9103.09</v>
      </c>
      <c r="S114" s="611">
        <v>9103.09</v>
      </c>
      <c r="T114" s="611">
        <v>9103.09</v>
      </c>
      <c r="U114" s="611">
        <v>10372.950000000001</v>
      </c>
      <c r="V114" s="611">
        <v>10372.950000000001</v>
      </c>
      <c r="W114" s="618">
        <f>SUM(K114:V114)</f>
        <v>111776.79999999997</v>
      </c>
      <c r="Y114" s="289"/>
      <c r="Z114" s="289"/>
    </row>
    <row r="115" spans="3:30" s="63" customFormat="1" ht="12" outlineLevel="1" x14ac:dyDescent="0.2">
      <c r="C115" s="64"/>
      <c r="D115" s="564" t="s">
        <v>259</v>
      </c>
      <c r="E115" s="565" t="s">
        <v>518</v>
      </c>
      <c r="F115" s="566">
        <v>1</v>
      </c>
      <c r="G115" s="612">
        <v>2000</v>
      </c>
      <c r="H115" s="618">
        <f>IF(J115="NO", F115*G115,SUM(J115:V115))</f>
        <v>2000</v>
      </c>
      <c r="J115" s="626" t="s">
        <v>542</v>
      </c>
      <c r="K115" s="612">
        <v>0</v>
      </c>
      <c r="L115" s="612">
        <v>0</v>
      </c>
      <c r="M115" s="612">
        <v>0</v>
      </c>
      <c r="N115" s="612">
        <v>0</v>
      </c>
      <c r="O115" s="612">
        <v>0</v>
      </c>
      <c r="P115" s="612">
        <v>0</v>
      </c>
      <c r="Q115" s="612">
        <v>2000</v>
      </c>
      <c r="R115" s="612">
        <v>0</v>
      </c>
      <c r="S115" s="612">
        <v>0</v>
      </c>
      <c r="T115" s="612">
        <v>0</v>
      </c>
      <c r="U115" s="612">
        <v>0</v>
      </c>
      <c r="V115" s="612">
        <v>0</v>
      </c>
      <c r="W115" s="618">
        <f>SUM(K115:V115)</f>
        <v>2000</v>
      </c>
      <c r="Y115" s="289"/>
      <c r="Z115" s="289"/>
      <c r="AD115" s="63">
        <f>2500*4</f>
        <v>10000</v>
      </c>
    </row>
    <row r="116" spans="3:30" s="63" customFormat="1" ht="12" outlineLevel="1" x14ac:dyDescent="0.2">
      <c r="C116" s="64"/>
      <c r="D116" s="564" t="s">
        <v>258</v>
      </c>
      <c r="E116" s="565"/>
      <c r="F116" s="566">
        <v>0</v>
      </c>
      <c r="G116" s="612">
        <v>0</v>
      </c>
      <c r="H116" s="554">
        <f>F116*G116</f>
        <v>0</v>
      </c>
      <c r="J116" s="626" t="s">
        <v>542</v>
      </c>
      <c r="K116" s="612">
        <v>0</v>
      </c>
      <c r="L116" s="612">
        <v>0</v>
      </c>
      <c r="M116" s="612">
        <v>0</v>
      </c>
      <c r="N116" s="612">
        <v>0</v>
      </c>
      <c r="O116" s="612">
        <v>0</v>
      </c>
      <c r="P116" s="612">
        <v>0</v>
      </c>
      <c r="Q116" s="612">
        <v>0</v>
      </c>
      <c r="R116" s="612">
        <v>0</v>
      </c>
      <c r="S116" s="612">
        <v>0</v>
      </c>
      <c r="T116" s="612">
        <v>0</v>
      </c>
      <c r="U116" s="612">
        <v>0</v>
      </c>
      <c r="V116" s="612">
        <v>0</v>
      </c>
      <c r="W116" s="618">
        <f>SUM(K116:V116)</f>
        <v>0</v>
      </c>
      <c r="Y116" s="289"/>
      <c r="Z116" s="289"/>
    </row>
    <row r="117" spans="3:30" s="63" customFormat="1" ht="3.6" customHeight="1" outlineLevel="1" thickBot="1" x14ac:dyDescent="0.25">
      <c r="C117" s="64"/>
      <c r="D117" s="296"/>
      <c r="E117" s="302"/>
      <c r="F117" s="283"/>
      <c r="G117" s="619"/>
      <c r="H117" s="555"/>
      <c r="J117" s="627"/>
      <c r="K117" s="562"/>
      <c r="L117" s="562"/>
      <c r="M117" s="562"/>
      <c r="N117" s="562"/>
      <c r="O117" s="562"/>
      <c r="P117" s="562"/>
      <c r="Q117" s="562"/>
      <c r="R117" s="562"/>
      <c r="S117" s="562"/>
      <c r="T117" s="562"/>
      <c r="U117" s="562"/>
      <c r="V117" s="562"/>
      <c r="W117" s="555"/>
      <c r="Y117" s="289"/>
      <c r="Z117" s="289"/>
    </row>
    <row r="118" spans="3:30" s="63" customFormat="1" ht="12.75" thickBot="1" x14ac:dyDescent="0.25">
      <c r="C118" s="64"/>
      <c r="D118" s="294"/>
      <c r="E118" s="301"/>
      <c r="F118" s="284" t="str">
        <f>E113</f>
        <v>Renting Land and Buildings</v>
      </c>
      <c r="G118" s="679">
        <f>C113</f>
        <v>6441</v>
      </c>
      <c r="H118" s="556">
        <f>SUBTOTAL(9,H114:H117)</f>
        <v>113776.79999999997</v>
      </c>
      <c r="J118" s="629"/>
      <c r="K118" s="623">
        <f t="shared" ref="K118:W118" si="36">SUBTOTAL(9,K114:K117)</f>
        <v>9103.09</v>
      </c>
      <c r="L118" s="623">
        <f t="shared" si="36"/>
        <v>9103.09</v>
      </c>
      <c r="M118" s="623">
        <f t="shared" si="36"/>
        <v>9103.09</v>
      </c>
      <c r="N118" s="623">
        <f t="shared" si="36"/>
        <v>9103.09</v>
      </c>
      <c r="O118" s="623">
        <f t="shared" si="36"/>
        <v>9103.09</v>
      </c>
      <c r="P118" s="623">
        <f t="shared" si="36"/>
        <v>9103.09</v>
      </c>
      <c r="Q118" s="623">
        <f t="shared" si="36"/>
        <v>11103.09</v>
      </c>
      <c r="R118" s="623">
        <f t="shared" si="36"/>
        <v>9103.09</v>
      </c>
      <c r="S118" s="623">
        <f t="shared" si="36"/>
        <v>9103.09</v>
      </c>
      <c r="T118" s="623">
        <f t="shared" si="36"/>
        <v>9103.09</v>
      </c>
      <c r="U118" s="623">
        <f t="shared" si="36"/>
        <v>10372.950000000001</v>
      </c>
      <c r="V118" s="623">
        <f t="shared" si="36"/>
        <v>10372.950000000001</v>
      </c>
      <c r="W118" s="556">
        <f t="shared" si="36"/>
        <v>113776.79999999997</v>
      </c>
      <c r="X118" s="63" t="str">
        <f>IF(H118=W118,"OK","Error")</f>
        <v>OK</v>
      </c>
      <c r="Y118" s="289">
        <v>0</v>
      </c>
      <c r="Z118" s="289">
        <f>H118-Y118</f>
        <v>113776.79999999997</v>
      </c>
    </row>
    <row r="119" spans="3:30" s="63" customFormat="1" ht="12" x14ac:dyDescent="0.2">
      <c r="C119" s="64"/>
      <c r="D119" s="294"/>
      <c r="E119" s="301"/>
      <c r="F119" s="281"/>
      <c r="G119" s="678"/>
      <c r="H119" s="552"/>
      <c r="J119" s="622"/>
      <c r="K119" s="560"/>
      <c r="L119" s="560"/>
      <c r="M119" s="560"/>
      <c r="N119" s="560"/>
      <c r="O119" s="560"/>
      <c r="P119" s="560"/>
      <c r="Q119" s="560"/>
      <c r="R119" s="560"/>
      <c r="S119" s="560"/>
      <c r="T119" s="560"/>
      <c r="U119" s="560"/>
      <c r="V119" s="560"/>
      <c r="W119" s="552"/>
      <c r="Y119" s="289"/>
      <c r="Z119" s="289"/>
    </row>
    <row r="120" spans="3:30" s="63" customFormat="1" ht="12" x14ac:dyDescent="0.2">
      <c r="C120" s="66" t="s">
        <v>101</v>
      </c>
      <c r="D120" s="294"/>
      <c r="E120" s="301"/>
      <c r="F120" s="281"/>
      <c r="G120" s="678"/>
      <c r="H120" s="552"/>
      <c r="J120" s="622"/>
      <c r="K120" s="560"/>
      <c r="L120" s="560"/>
      <c r="M120" s="560"/>
      <c r="N120" s="560"/>
      <c r="O120" s="560"/>
      <c r="P120" s="560"/>
      <c r="Q120" s="560"/>
      <c r="R120" s="560"/>
      <c r="S120" s="560"/>
      <c r="T120" s="560"/>
      <c r="U120" s="560"/>
      <c r="V120" s="560"/>
      <c r="W120" s="552"/>
      <c r="Y120" s="289"/>
      <c r="Z120" s="289"/>
    </row>
    <row r="121" spans="3:30" s="63" customFormat="1" ht="12" outlineLevel="1" x14ac:dyDescent="0.2">
      <c r="C121" s="208">
        <v>6519</v>
      </c>
      <c r="D121" s="294"/>
      <c r="E121" s="301" t="s">
        <v>23</v>
      </c>
      <c r="F121" s="281"/>
      <c r="G121" s="678"/>
      <c r="H121" s="552"/>
      <c r="J121" s="622"/>
      <c r="K121" s="560"/>
      <c r="L121" s="560"/>
      <c r="M121" s="560"/>
      <c r="N121" s="560"/>
      <c r="O121" s="560"/>
      <c r="P121" s="560"/>
      <c r="Q121" s="560"/>
      <c r="R121" s="560"/>
      <c r="S121" s="560"/>
      <c r="T121" s="560"/>
      <c r="U121" s="560"/>
      <c r="V121" s="560"/>
      <c r="W121" s="552"/>
      <c r="Y121" s="289"/>
      <c r="Z121" s="289"/>
    </row>
    <row r="122" spans="3:30" s="63" customFormat="1" ht="12" outlineLevel="1" x14ac:dyDescent="0.2">
      <c r="C122" s="64"/>
      <c r="D122" s="570" t="s">
        <v>275</v>
      </c>
      <c r="E122" s="571" t="s">
        <v>395</v>
      </c>
      <c r="F122" s="576">
        <v>2</v>
      </c>
      <c r="G122" s="613">
        <v>200</v>
      </c>
      <c r="H122" s="618">
        <f>IF(J122="NO", F122*G122,SUM(J122:V122))</f>
        <v>400</v>
      </c>
      <c r="J122" s="630" t="s">
        <v>542</v>
      </c>
      <c r="K122" s="611">
        <f t="shared" ref="K122:V124" si="37">$F122*$G122/12</f>
        <v>33.333333333333336</v>
      </c>
      <c r="L122" s="611">
        <f t="shared" si="37"/>
        <v>33.333333333333336</v>
      </c>
      <c r="M122" s="611">
        <f t="shared" si="37"/>
        <v>33.333333333333336</v>
      </c>
      <c r="N122" s="611">
        <f t="shared" si="37"/>
        <v>33.333333333333336</v>
      </c>
      <c r="O122" s="611">
        <f t="shared" si="37"/>
        <v>33.333333333333336</v>
      </c>
      <c r="P122" s="611">
        <f t="shared" si="37"/>
        <v>33.333333333333336</v>
      </c>
      <c r="Q122" s="611">
        <f t="shared" si="37"/>
        <v>33.333333333333336</v>
      </c>
      <c r="R122" s="611">
        <f t="shared" si="37"/>
        <v>33.333333333333336</v>
      </c>
      <c r="S122" s="611">
        <f t="shared" si="37"/>
        <v>33.333333333333336</v>
      </c>
      <c r="T122" s="611">
        <f t="shared" si="37"/>
        <v>33.333333333333336</v>
      </c>
      <c r="U122" s="611">
        <f t="shared" si="37"/>
        <v>33.333333333333336</v>
      </c>
      <c r="V122" s="611">
        <f t="shared" si="37"/>
        <v>33.333333333333336</v>
      </c>
      <c r="W122" s="618">
        <f>SUM(K122:V122)</f>
        <v>399.99999999999994</v>
      </c>
      <c r="Y122" s="289"/>
      <c r="Z122" s="289"/>
    </row>
    <row r="123" spans="3:30" s="63" customFormat="1" ht="12" outlineLevel="1" x14ac:dyDescent="0.2">
      <c r="C123" s="64"/>
      <c r="D123" s="564" t="s">
        <v>258</v>
      </c>
      <c r="E123" s="565" t="s">
        <v>519</v>
      </c>
      <c r="F123" s="566">
        <v>0</v>
      </c>
      <c r="G123" s="612">
        <v>0</v>
      </c>
      <c r="H123" s="618">
        <f>IF(J123="NO", F123*G123,SUM(J123:V123))</f>
        <v>0</v>
      </c>
      <c r="J123" s="626" t="s">
        <v>542</v>
      </c>
      <c r="K123" s="612">
        <f t="shared" si="37"/>
        <v>0</v>
      </c>
      <c r="L123" s="612">
        <f t="shared" si="37"/>
        <v>0</v>
      </c>
      <c r="M123" s="612">
        <f t="shared" si="37"/>
        <v>0</v>
      </c>
      <c r="N123" s="612">
        <f t="shared" si="37"/>
        <v>0</v>
      </c>
      <c r="O123" s="612">
        <f t="shared" si="37"/>
        <v>0</v>
      </c>
      <c r="P123" s="612">
        <f t="shared" si="37"/>
        <v>0</v>
      </c>
      <c r="Q123" s="612">
        <f t="shared" si="37"/>
        <v>0</v>
      </c>
      <c r="R123" s="612">
        <f t="shared" si="37"/>
        <v>0</v>
      </c>
      <c r="S123" s="612">
        <f t="shared" si="37"/>
        <v>0</v>
      </c>
      <c r="T123" s="612">
        <f t="shared" si="37"/>
        <v>0</v>
      </c>
      <c r="U123" s="612">
        <f t="shared" si="37"/>
        <v>0</v>
      </c>
      <c r="V123" s="612">
        <f t="shared" si="37"/>
        <v>0</v>
      </c>
      <c r="W123" s="618">
        <f>SUM(K123:V123)</f>
        <v>0</v>
      </c>
      <c r="Y123" s="289"/>
      <c r="Z123" s="289"/>
    </row>
    <row r="124" spans="3:30" s="63" customFormat="1" ht="12" outlineLevel="1" x14ac:dyDescent="0.2">
      <c r="C124" s="64"/>
      <c r="D124" s="564" t="s">
        <v>258</v>
      </c>
      <c r="E124" s="565"/>
      <c r="F124" s="566">
        <v>0</v>
      </c>
      <c r="G124" s="612">
        <v>0</v>
      </c>
      <c r="H124" s="618">
        <f>IF(J124="NO", F124*G124,SUM(J124:V124))</f>
        <v>0</v>
      </c>
      <c r="J124" s="626" t="s">
        <v>542</v>
      </c>
      <c r="K124" s="612">
        <f t="shared" si="37"/>
        <v>0</v>
      </c>
      <c r="L124" s="612">
        <f t="shared" si="37"/>
        <v>0</v>
      </c>
      <c r="M124" s="612">
        <f t="shared" si="37"/>
        <v>0</v>
      </c>
      <c r="N124" s="612">
        <f t="shared" si="37"/>
        <v>0</v>
      </c>
      <c r="O124" s="612">
        <f t="shared" si="37"/>
        <v>0</v>
      </c>
      <c r="P124" s="612">
        <f t="shared" si="37"/>
        <v>0</v>
      </c>
      <c r="Q124" s="612">
        <f t="shared" si="37"/>
        <v>0</v>
      </c>
      <c r="R124" s="612">
        <f t="shared" si="37"/>
        <v>0</v>
      </c>
      <c r="S124" s="612">
        <f t="shared" si="37"/>
        <v>0</v>
      </c>
      <c r="T124" s="612">
        <f t="shared" si="37"/>
        <v>0</v>
      </c>
      <c r="U124" s="612">
        <f t="shared" si="37"/>
        <v>0</v>
      </c>
      <c r="V124" s="612">
        <f t="shared" si="37"/>
        <v>0</v>
      </c>
      <c r="W124" s="618">
        <f>SUM(K124:V124)</f>
        <v>0</v>
      </c>
      <c r="Y124" s="289"/>
      <c r="Z124" s="289"/>
    </row>
    <row r="125" spans="3:30" s="63" customFormat="1" ht="3.6" customHeight="1" outlineLevel="1" thickBot="1" x14ac:dyDescent="0.25">
      <c r="C125" s="64"/>
      <c r="D125" s="296"/>
      <c r="E125" s="302"/>
      <c r="F125" s="283"/>
      <c r="G125" s="619"/>
      <c r="H125" s="555"/>
      <c r="J125" s="627"/>
      <c r="K125" s="562"/>
      <c r="L125" s="562"/>
      <c r="M125" s="562"/>
      <c r="N125" s="562"/>
      <c r="O125" s="562"/>
      <c r="P125" s="562"/>
      <c r="Q125" s="562"/>
      <c r="R125" s="562"/>
      <c r="S125" s="562"/>
      <c r="T125" s="562"/>
      <c r="U125" s="562"/>
      <c r="V125" s="562"/>
      <c r="W125" s="555"/>
      <c r="Y125" s="289"/>
      <c r="Z125" s="289"/>
    </row>
    <row r="126" spans="3:30" s="63" customFormat="1" ht="12.75" thickBot="1" x14ac:dyDescent="0.25">
      <c r="C126" s="64"/>
      <c r="D126" s="294"/>
      <c r="E126" s="301"/>
      <c r="F126" s="284" t="str">
        <f>E121</f>
        <v>Student Transportation Purchased From Other Source</v>
      </c>
      <c r="G126" s="679">
        <f>C121</f>
        <v>6519</v>
      </c>
      <c r="H126" s="556">
        <f>SUBTOTAL(9,H122:H125)</f>
        <v>400</v>
      </c>
      <c r="J126" s="629"/>
      <c r="K126" s="623">
        <f t="shared" ref="K126:W126" si="38">SUBTOTAL(9,K122:K125)</f>
        <v>33.333333333333336</v>
      </c>
      <c r="L126" s="623">
        <f t="shared" si="38"/>
        <v>33.333333333333336</v>
      </c>
      <c r="M126" s="623">
        <f t="shared" si="38"/>
        <v>33.333333333333336</v>
      </c>
      <c r="N126" s="623">
        <f t="shared" si="38"/>
        <v>33.333333333333336</v>
      </c>
      <c r="O126" s="623">
        <f t="shared" si="38"/>
        <v>33.333333333333336</v>
      </c>
      <c r="P126" s="623">
        <f t="shared" si="38"/>
        <v>33.333333333333336</v>
      </c>
      <c r="Q126" s="623">
        <f t="shared" si="38"/>
        <v>33.333333333333336</v>
      </c>
      <c r="R126" s="623">
        <f t="shared" si="38"/>
        <v>33.333333333333336</v>
      </c>
      <c r="S126" s="623">
        <f t="shared" si="38"/>
        <v>33.333333333333336</v>
      </c>
      <c r="T126" s="623">
        <f t="shared" si="38"/>
        <v>33.333333333333336</v>
      </c>
      <c r="U126" s="623">
        <f t="shared" si="38"/>
        <v>33.333333333333336</v>
      </c>
      <c r="V126" s="623">
        <f t="shared" si="38"/>
        <v>33.333333333333336</v>
      </c>
      <c r="W126" s="556">
        <f t="shared" si="38"/>
        <v>399.99999999999994</v>
      </c>
      <c r="X126" s="63" t="str">
        <f>IF(H126=W126,"OK","Error")</f>
        <v>OK</v>
      </c>
      <c r="Y126" s="289">
        <v>0</v>
      </c>
      <c r="Z126" s="289">
        <f>H126-Y126</f>
        <v>400</v>
      </c>
    </row>
    <row r="127" spans="3:30" s="63" customFormat="1" ht="12" outlineLevel="1" x14ac:dyDescent="0.2">
      <c r="C127" s="64"/>
      <c r="D127" s="294"/>
      <c r="E127" s="301"/>
      <c r="F127" s="281"/>
      <c r="G127" s="678"/>
      <c r="H127" s="552"/>
      <c r="J127" s="622"/>
      <c r="K127" s="560"/>
      <c r="L127" s="560"/>
      <c r="M127" s="560"/>
      <c r="N127" s="560"/>
      <c r="O127" s="560"/>
      <c r="P127" s="560"/>
      <c r="Q127" s="560"/>
      <c r="R127" s="560"/>
      <c r="S127" s="560"/>
      <c r="T127" s="560"/>
      <c r="U127" s="560"/>
      <c r="V127" s="560"/>
      <c r="W127" s="552"/>
      <c r="Y127" s="289"/>
      <c r="Z127" s="289"/>
    </row>
    <row r="128" spans="3:30" s="63" customFormat="1" ht="12" outlineLevel="1" x14ac:dyDescent="0.2">
      <c r="C128" s="208">
        <v>6521</v>
      </c>
      <c r="D128" s="294"/>
      <c r="E128" s="301" t="s">
        <v>24</v>
      </c>
      <c r="F128" s="281"/>
      <c r="G128" s="678"/>
      <c r="H128" s="552"/>
      <c r="J128" s="622"/>
      <c r="K128" s="560"/>
      <c r="L128" s="560"/>
      <c r="M128" s="560"/>
      <c r="N128" s="560"/>
      <c r="O128" s="560"/>
      <c r="P128" s="560"/>
      <c r="Q128" s="560"/>
      <c r="R128" s="560"/>
      <c r="S128" s="560"/>
      <c r="T128" s="560"/>
      <c r="U128" s="560"/>
      <c r="V128" s="560"/>
      <c r="W128" s="552"/>
      <c r="Y128" s="289"/>
      <c r="Z128" s="289"/>
    </row>
    <row r="129" spans="3:26" s="63" customFormat="1" ht="12" outlineLevel="1" x14ac:dyDescent="0.2">
      <c r="C129" s="64"/>
      <c r="D129" s="570" t="s">
        <v>259</v>
      </c>
      <c r="E129" s="571" t="s">
        <v>614</v>
      </c>
      <c r="F129" s="576">
        <v>1</v>
      </c>
      <c r="G129" s="613">
        <v>3800</v>
      </c>
      <c r="H129" s="618">
        <f>IF(J129="NO", F129*G129,SUM(J129:V129))</f>
        <v>3800</v>
      </c>
      <c r="J129" s="630" t="s">
        <v>543</v>
      </c>
      <c r="K129" s="611">
        <v>0</v>
      </c>
      <c r="L129" s="611">
        <v>3800</v>
      </c>
      <c r="M129" s="611">
        <v>0</v>
      </c>
      <c r="N129" s="611">
        <v>0</v>
      </c>
      <c r="O129" s="611">
        <v>0</v>
      </c>
      <c r="P129" s="611">
        <v>0</v>
      </c>
      <c r="Q129" s="611">
        <v>0</v>
      </c>
      <c r="R129" s="611">
        <v>0</v>
      </c>
      <c r="S129" s="611">
        <v>0</v>
      </c>
      <c r="T129" s="611">
        <v>0</v>
      </c>
      <c r="U129" s="611">
        <v>0</v>
      </c>
      <c r="V129" s="611">
        <v>0</v>
      </c>
      <c r="W129" s="618">
        <f>SUM(K129:V129)</f>
        <v>3800</v>
      </c>
      <c r="Y129" s="289"/>
      <c r="Z129" s="289"/>
    </row>
    <row r="130" spans="3:26" s="63" customFormat="1" ht="12" outlineLevel="1" x14ac:dyDescent="0.2">
      <c r="C130" s="64"/>
      <c r="D130" s="595" t="s">
        <v>258</v>
      </c>
      <c r="E130" s="596"/>
      <c r="F130" s="597">
        <v>0</v>
      </c>
      <c r="G130" s="614">
        <v>0</v>
      </c>
      <c r="H130" s="618">
        <f>IF(J130="NO", F130*G130,SUM(J130:V130))</f>
        <v>0</v>
      </c>
      <c r="J130" s="631" t="s">
        <v>542</v>
      </c>
      <c r="K130" s="614">
        <v>0</v>
      </c>
      <c r="L130" s="614">
        <v>0</v>
      </c>
      <c r="M130" s="614">
        <v>0</v>
      </c>
      <c r="N130" s="614">
        <v>0</v>
      </c>
      <c r="O130" s="614">
        <v>0</v>
      </c>
      <c r="P130" s="614">
        <v>0</v>
      </c>
      <c r="Q130" s="614">
        <v>0</v>
      </c>
      <c r="R130" s="614">
        <v>0</v>
      </c>
      <c r="S130" s="614">
        <v>0</v>
      </c>
      <c r="T130" s="614">
        <v>0</v>
      </c>
      <c r="U130" s="614">
        <v>0</v>
      </c>
      <c r="V130" s="614">
        <v>0</v>
      </c>
      <c r="W130" s="554">
        <f>U130*V130</f>
        <v>0</v>
      </c>
      <c r="Y130" s="289"/>
      <c r="Z130" s="289"/>
    </row>
    <row r="131" spans="3:26" s="63" customFormat="1" ht="12" outlineLevel="1" x14ac:dyDescent="0.2">
      <c r="C131" s="64"/>
      <c r="D131" s="595" t="s">
        <v>258</v>
      </c>
      <c r="E131" s="596"/>
      <c r="F131" s="597">
        <v>0</v>
      </c>
      <c r="G131" s="614">
        <v>0</v>
      </c>
      <c r="H131" s="618">
        <f>IF(J131="NO", F131*G131,SUM(J131:V131))</f>
        <v>0</v>
      </c>
      <c r="J131" s="631" t="s">
        <v>542</v>
      </c>
      <c r="K131" s="614">
        <v>0</v>
      </c>
      <c r="L131" s="614">
        <v>0</v>
      </c>
      <c r="M131" s="614">
        <v>0</v>
      </c>
      <c r="N131" s="614">
        <v>0</v>
      </c>
      <c r="O131" s="614">
        <v>0</v>
      </c>
      <c r="P131" s="614">
        <v>0</v>
      </c>
      <c r="Q131" s="614">
        <v>0</v>
      </c>
      <c r="R131" s="614">
        <v>0</v>
      </c>
      <c r="S131" s="614">
        <v>0</v>
      </c>
      <c r="T131" s="614">
        <v>0</v>
      </c>
      <c r="U131" s="614">
        <v>0</v>
      </c>
      <c r="V131" s="614">
        <v>0</v>
      </c>
      <c r="W131" s="554">
        <f>U131*V131</f>
        <v>0</v>
      </c>
      <c r="Y131" s="289"/>
      <c r="Z131" s="289"/>
    </row>
    <row r="132" spans="3:26" s="63" customFormat="1" ht="12" outlineLevel="1" x14ac:dyDescent="0.2">
      <c r="C132" s="64"/>
      <c r="D132" s="595" t="s">
        <v>258</v>
      </c>
      <c r="E132" s="596"/>
      <c r="F132" s="597">
        <v>0</v>
      </c>
      <c r="G132" s="614">
        <v>0</v>
      </c>
      <c r="H132" s="618">
        <f>IF(J132="NO", F132*G132,SUM(J132:V132))</f>
        <v>0</v>
      </c>
      <c r="J132" s="631" t="s">
        <v>542</v>
      </c>
      <c r="K132" s="614">
        <v>0</v>
      </c>
      <c r="L132" s="614">
        <v>0</v>
      </c>
      <c r="M132" s="614">
        <v>0</v>
      </c>
      <c r="N132" s="614">
        <v>0</v>
      </c>
      <c r="O132" s="614">
        <v>0</v>
      </c>
      <c r="P132" s="614">
        <v>0</v>
      </c>
      <c r="Q132" s="614">
        <v>0</v>
      </c>
      <c r="R132" s="614">
        <v>0</v>
      </c>
      <c r="S132" s="614">
        <v>0</v>
      </c>
      <c r="T132" s="614">
        <v>0</v>
      </c>
      <c r="U132" s="614">
        <v>0</v>
      </c>
      <c r="V132" s="614">
        <v>0</v>
      </c>
      <c r="W132" s="554">
        <f>U132*V132</f>
        <v>0</v>
      </c>
      <c r="Y132" s="289"/>
      <c r="Z132" s="289"/>
    </row>
    <row r="133" spans="3:26" s="63" customFormat="1" ht="12" outlineLevel="1" x14ac:dyDescent="0.2">
      <c r="C133" s="64"/>
      <c r="D133" s="595" t="s">
        <v>258</v>
      </c>
      <c r="E133" s="596"/>
      <c r="F133" s="597">
        <v>0</v>
      </c>
      <c r="G133" s="614">
        <v>0</v>
      </c>
      <c r="H133" s="618">
        <f>IF(J133="NO", F133*G133,SUM(J133:V133))</f>
        <v>0</v>
      </c>
      <c r="J133" s="631" t="s">
        <v>542</v>
      </c>
      <c r="K133" s="614">
        <v>0</v>
      </c>
      <c r="L133" s="614">
        <v>0</v>
      </c>
      <c r="M133" s="614">
        <v>0</v>
      </c>
      <c r="N133" s="614">
        <v>0</v>
      </c>
      <c r="O133" s="614">
        <v>0</v>
      </c>
      <c r="P133" s="614">
        <v>0</v>
      </c>
      <c r="Q133" s="614">
        <v>0</v>
      </c>
      <c r="R133" s="614">
        <v>0</v>
      </c>
      <c r="S133" s="614">
        <v>0</v>
      </c>
      <c r="T133" s="614">
        <v>0</v>
      </c>
      <c r="U133" s="614">
        <v>0</v>
      </c>
      <c r="V133" s="614">
        <v>0</v>
      </c>
      <c r="W133" s="554">
        <f>U133*V133</f>
        <v>0</v>
      </c>
      <c r="Y133" s="289"/>
      <c r="Z133" s="289"/>
    </row>
    <row r="134" spans="3:26" s="63" customFormat="1" ht="3.6" customHeight="1" outlineLevel="1" thickBot="1" x14ac:dyDescent="0.25">
      <c r="C134" s="64"/>
      <c r="D134" s="296"/>
      <c r="E134" s="302"/>
      <c r="F134" s="283"/>
      <c r="G134" s="619"/>
      <c r="H134" s="555"/>
      <c r="J134" s="627"/>
      <c r="K134" s="562"/>
      <c r="L134" s="562"/>
      <c r="M134" s="562"/>
      <c r="N134" s="562"/>
      <c r="O134" s="562"/>
      <c r="P134" s="562"/>
      <c r="Q134" s="562"/>
      <c r="R134" s="562"/>
      <c r="S134" s="562"/>
      <c r="T134" s="562"/>
      <c r="U134" s="562"/>
      <c r="V134" s="562"/>
      <c r="W134" s="555"/>
      <c r="Y134" s="289"/>
      <c r="Z134" s="289"/>
    </row>
    <row r="135" spans="3:26" s="63" customFormat="1" ht="12.75" thickBot="1" x14ac:dyDescent="0.25">
      <c r="C135" s="64"/>
      <c r="D135" s="294"/>
      <c r="E135" s="301"/>
      <c r="F135" s="284" t="str">
        <f>E128</f>
        <v>Property Insurance ''Business Owners''</v>
      </c>
      <c r="G135" s="679">
        <f>C128</f>
        <v>6521</v>
      </c>
      <c r="H135" s="556">
        <f>SUBTOTAL(9,H129:H134)</f>
        <v>3800</v>
      </c>
      <c r="J135" s="629"/>
      <c r="K135" s="623">
        <f t="shared" ref="K135:W135" si="39">SUBTOTAL(9,K129:K134)</f>
        <v>0</v>
      </c>
      <c r="L135" s="623">
        <f t="shared" si="39"/>
        <v>3800</v>
      </c>
      <c r="M135" s="623">
        <f t="shared" si="39"/>
        <v>0</v>
      </c>
      <c r="N135" s="623">
        <f t="shared" si="39"/>
        <v>0</v>
      </c>
      <c r="O135" s="623">
        <f t="shared" si="39"/>
        <v>0</v>
      </c>
      <c r="P135" s="623">
        <f t="shared" si="39"/>
        <v>0</v>
      </c>
      <c r="Q135" s="623">
        <f t="shared" si="39"/>
        <v>0</v>
      </c>
      <c r="R135" s="623">
        <f t="shared" si="39"/>
        <v>0</v>
      </c>
      <c r="S135" s="623">
        <f t="shared" si="39"/>
        <v>0</v>
      </c>
      <c r="T135" s="623">
        <f t="shared" si="39"/>
        <v>0</v>
      </c>
      <c r="U135" s="623">
        <f t="shared" si="39"/>
        <v>0</v>
      </c>
      <c r="V135" s="623">
        <f t="shared" si="39"/>
        <v>0</v>
      </c>
      <c r="W135" s="556">
        <f t="shared" si="39"/>
        <v>3800</v>
      </c>
      <c r="X135" s="63" t="str">
        <f>IF(H135=W135,"OK","Error")</f>
        <v>OK</v>
      </c>
      <c r="Y135" s="289">
        <v>0</v>
      </c>
      <c r="Z135" s="289">
        <f>H135-Y135</f>
        <v>3800</v>
      </c>
    </row>
    <row r="136" spans="3:26" s="63" customFormat="1" ht="12" outlineLevel="1" x14ac:dyDescent="0.2">
      <c r="C136" s="64"/>
      <c r="D136" s="294"/>
      <c r="E136" s="301"/>
      <c r="F136" s="281"/>
      <c r="G136" s="678"/>
      <c r="H136" s="552"/>
      <c r="J136" s="622"/>
      <c r="K136" s="560"/>
      <c r="L136" s="560"/>
      <c r="M136" s="560"/>
      <c r="N136" s="560"/>
      <c r="O136" s="560"/>
      <c r="P136" s="560"/>
      <c r="Q136" s="560"/>
      <c r="R136" s="560"/>
      <c r="S136" s="560"/>
      <c r="T136" s="560"/>
      <c r="U136" s="560"/>
      <c r="V136" s="560"/>
      <c r="W136" s="552"/>
      <c r="Y136" s="289"/>
      <c r="Z136" s="289"/>
    </row>
    <row r="137" spans="3:26" s="63" customFormat="1" ht="12" outlineLevel="1" x14ac:dyDescent="0.2">
      <c r="C137" s="208">
        <v>6522</v>
      </c>
      <c r="D137" s="294"/>
      <c r="E137" s="301" t="s">
        <v>25</v>
      </c>
      <c r="F137" s="281"/>
      <c r="G137" s="678"/>
      <c r="H137" s="552"/>
      <c r="J137" s="622"/>
      <c r="K137" s="560"/>
      <c r="L137" s="560"/>
      <c r="M137" s="560"/>
      <c r="N137" s="560"/>
      <c r="O137" s="560"/>
      <c r="P137" s="560"/>
      <c r="Q137" s="560"/>
      <c r="R137" s="560"/>
      <c r="S137" s="560"/>
      <c r="T137" s="560"/>
      <c r="U137" s="560"/>
      <c r="V137" s="560"/>
      <c r="W137" s="552"/>
      <c r="Y137" s="289"/>
      <c r="Z137" s="289"/>
    </row>
    <row r="138" spans="3:26" s="63" customFormat="1" ht="12" outlineLevel="1" x14ac:dyDescent="0.2">
      <c r="C138" s="64"/>
      <c r="D138" s="595" t="s">
        <v>258</v>
      </c>
      <c r="E138" s="596"/>
      <c r="F138" s="597">
        <v>0</v>
      </c>
      <c r="G138" s="614">
        <v>0</v>
      </c>
      <c r="H138" s="618">
        <f>IF(J138="NO", F138*G138,SUM(J138:V138))</f>
        <v>0</v>
      </c>
      <c r="J138" s="631" t="s">
        <v>542</v>
      </c>
      <c r="K138" s="614">
        <v>0</v>
      </c>
      <c r="L138" s="614">
        <v>0</v>
      </c>
      <c r="M138" s="614">
        <v>0</v>
      </c>
      <c r="N138" s="614">
        <v>0</v>
      </c>
      <c r="O138" s="614">
        <v>0</v>
      </c>
      <c r="P138" s="614">
        <v>0</v>
      </c>
      <c r="Q138" s="614">
        <v>0</v>
      </c>
      <c r="R138" s="614">
        <v>0</v>
      </c>
      <c r="S138" s="614">
        <v>0</v>
      </c>
      <c r="T138" s="614">
        <v>0</v>
      </c>
      <c r="U138" s="614">
        <v>0</v>
      </c>
      <c r="V138" s="614">
        <v>0</v>
      </c>
      <c r="W138" s="618">
        <f>SUM(K138:V138)</f>
        <v>0</v>
      </c>
      <c r="Y138" s="289"/>
      <c r="Z138" s="289"/>
    </row>
    <row r="139" spans="3:26" s="63" customFormat="1" ht="12" outlineLevel="1" x14ac:dyDescent="0.2">
      <c r="C139" s="64"/>
      <c r="D139" s="595" t="s">
        <v>258</v>
      </c>
      <c r="E139" s="596"/>
      <c r="F139" s="597">
        <v>0</v>
      </c>
      <c r="G139" s="614">
        <v>0</v>
      </c>
      <c r="H139" s="618">
        <f>IF(J139="NO", F139*G139,SUM(J139:V139))</f>
        <v>0</v>
      </c>
      <c r="J139" s="631" t="s">
        <v>542</v>
      </c>
      <c r="K139" s="614">
        <v>0</v>
      </c>
      <c r="L139" s="614">
        <v>0</v>
      </c>
      <c r="M139" s="614">
        <v>0</v>
      </c>
      <c r="N139" s="614">
        <v>0</v>
      </c>
      <c r="O139" s="614">
        <v>0</v>
      </c>
      <c r="P139" s="614">
        <v>0</v>
      </c>
      <c r="Q139" s="614">
        <v>0</v>
      </c>
      <c r="R139" s="614">
        <v>0</v>
      </c>
      <c r="S139" s="614">
        <v>0</v>
      </c>
      <c r="T139" s="614">
        <v>0</v>
      </c>
      <c r="U139" s="614">
        <v>0</v>
      </c>
      <c r="V139" s="614">
        <v>0</v>
      </c>
      <c r="W139" s="618">
        <f>SUM(K139:V139)</f>
        <v>0</v>
      </c>
      <c r="Y139" s="289"/>
      <c r="Z139" s="289"/>
    </row>
    <row r="140" spans="3:26" s="63" customFormat="1" ht="12" outlineLevel="1" x14ac:dyDescent="0.2">
      <c r="C140" s="64"/>
      <c r="D140" s="595" t="s">
        <v>258</v>
      </c>
      <c r="E140" s="596"/>
      <c r="F140" s="597">
        <v>0</v>
      </c>
      <c r="G140" s="614">
        <v>0</v>
      </c>
      <c r="H140" s="618">
        <f>IF(J140="NO", F140*G140,SUM(J140:V140))</f>
        <v>0</v>
      </c>
      <c r="J140" s="631" t="s">
        <v>542</v>
      </c>
      <c r="K140" s="614">
        <v>0</v>
      </c>
      <c r="L140" s="614">
        <v>0</v>
      </c>
      <c r="M140" s="614">
        <v>0</v>
      </c>
      <c r="N140" s="614">
        <v>0</v>
      </c>
      <c r="O140" s="614">
        <v>0</v>
      </c>
      <c r="P140" s="614">
        <v>0</v>
      </c>
      <c r="Q140" s="614">
        <v>0</v>
      </c>
      <c r="R140" s="614">
        <v>0</v>
      </c>
      <c r="S140" s="614">
        <v>0</v>
      </c>
      <c r="T140" s="614">
        <v>0</v>
      </c>
      <c r="U140" s="614">
        <v>0</v>
      </c>
      <c r="V140" s="614">
        <v>0</v>
      </c>
      <c r="W140" s="618">
        <f>SUM(K140:V140)</f>
        <v>0</v>
      </c>
      <c r="Y140" s="289"/>
      <c r="Z140" s="289"/>
    </row>
    <row r="141" spans="3:26" s="63" customFormat="1" ht="12" outlineLevel="1" x14ac:dyDescent="0.2">
      <c r="C141" s="64"/>
      <c r="D141" s="595" t="s">
        <v>258</v>
      </c>
      <c r="E141" s="596"/>
      <c r="F141" s="597">
        <v>0</v>
      </c>
      <c r="G141" s="614">
        <v>0</v>
      </c>
      <c r="H141" s="618">
        <f>IF(J141="NO", F141*G141,SUM(J141:V141))</f>
        <v>0</v>
      </c>
      <c r="J141" s="631" t="s">
        <v>542</v>
      </c>
      <c r="K141" s="614">
        <v>0</v>
      </c>
      <c r="L141" s="614">
        <v>0</v>
      </c>
      <c r="M141" s="614">
        <v>0</v>
      </c>
      <c r="N141" s="614">
        <v>0</v>
      </c>
      <c r="O141" s="614">
        <v>0</v>
      </c>
      <c r="P141" s="614">
        <v>0</v>
      </c>
      <c r="Q141" s="614">
        <v>0</v>
      </c>
      <c r="R141" s="614">
        <v>0</v>
      </c>
      <c r="S141" s="614">
        <v>0</v>
      </c>
      <c r="T141" s="614">
        <v>0</v>
      </c>
      <c r="U141" s="614">
        <v>0</v>
      </c>
      <c r="V141" s="614">
        <v>0</v>
      </c>
      <c r="W141" s="618">
        <f>SUM(K141:V141)</f>
        <v>0</v>
      </c>
      <c r="Y141" s="289"/>
      <c r="Z141" s="289"/>
    </row>
    <row r="142" spans="3:26" s="63" customFormat="1" ht="12" outlineLevel="1" x14ac:dyDescent="0.2">
      <c r="C142" s="64"/>
      <c r="D142" s="595" t="s">
        <v>258</v>
      </c>
      <c r="E142" s="596"/>
      <c r="F142" s="597">
        <v>0</v>
      </c>
      <c r="G142" s="614">
        <v>0</v>
      </c>
      <c r="H142" s="618">
        <f>IF(J142="NO", F142*G142,SUM(J142:V142))</f>
        <v>0</v>
      </c>
      <c r="J142" s="631" t="s">
        <v>542</v>
      </c>
      <c r="K142" s="614">
        <v>0</v>
      </c>
      <c r="L142" s="614">
        <v>0</v>
      </c>
      <c r="M142" s="614">
        <v>0</v>
      </c>
      <c r="N142" s="614">
        <v>0</v>
      </c>
      <c r="O142" s="614">
        <v>0</v>
      </c>
      <c r="P142" s="614">
        <v>0</v>
      </c>
      <c r="Q142" s="614">
        <v>0</v>
      </c>
      <c r="R142" s="614">
        <v>0</v>
      </c>
      <c r="S142" s="614">
        <v>0</v>
      </c>
      <c r="T142" s="614">
        <v>0</v>
      </c>
      <c r="U142" s="614">
        <v>0</v>
      </c>
      <c r="V142" s="614">
        <v>0</v>
      </c>
      <c r="W142" s="618">
        <f>SUM(K142:V142)</f>
        <v>0</v>
      </c>
      <c r="Y142" s="289"/>
      <c r="Z142" s="289"/>
    </row>
    <row r="143" spans="3:26" s="63" customFormat="1" ht="3.6" customHeight="1" outlineLevel="1" thickBot="1" x14ac:dyDescent="0.25">
      <c r="C143" s="64"/>
      <c r="D143" s="296"/>
      <c r="E143" s="302"/>
      <c r="F143" s="283"/>
      <c r="G143" s="619"/>
      <c r="H143" s="555"/>
      <c r="J143" s="627"/>
      <c r="K143" s="562"/>
      <c r="L143" s="562"/>
      <c r="M143" s="562"/>
      <c r="N143" s="562"/>
      <c r="O143" s="562"/>
      <c r="P143" s="562"/>
      <c r="Q143" s="562"/>
      <c r="R143" s="562"/>
      <c r="S143" s="562"/>
      <c r="T143" s="562"/>
      <c r="U143" s="562"/>
      <c r="V143" s="562"/>
      <c r="W143" s="555"/>
      <c r="Y143" s="289"/>
      <c r="Z143" s="289"/>
    </row>
    <row r="144" spans="3:26" s="63" customFormat="1" ht="12.75" thickBot="1" x14ac:dyDescent="0.25">
      <c r="C144" s="64"/>
      <c r="D144" s="294"/>
      <c r="E144" s="301"/>
      <c r="F144" s="284" t="str">
        <f>E137</f>
        <v>Liability Insurance ''Errors and Omissions''</v>
      </c>
      <c r="G144" s="679">
        <f>C137</f>
        <v>6522</v>
      </c>
      <c r="H144" s="556">
        <f>SUBTOTAL(9,H138:H143)</f>
        <v>0</v>
      </c>
      <c r="J144" s="629"/>
      <c r="K144" s="623">
        <f t="shared" ref="K144:W144" si="40">SUBTOTAL(9,K138:K143)</f>
        <v>0</v>
      </c>
      <c r="L144" s="623">
        <f t="shared" si="40"/>
        <v>0</v>
      </c>
      <c r="M144" s="623">
        <f t="shared" si="40"/>
        <v>0</v>
      </c>
      <c r="N144" s="623">
        <f t="shared" si="40"/>
        <v>0</v>
      </c>
      <c r="O144" s="623">
        <f t="shared" si="40"/>
        <v>0</v>
      </c>
      <c r="P144" s="623">
        <f t="shared" si="40"/>
        <v>0</v>
      </c>
      <c r="Q144" s="623">
        <f t="shared" si="40"/>
        <v>0</v>
      </c>
      <c r="R144" s="623">
        <f t="shared" si="40"/>
        <v>0</v>
      </c>
      <c r="S144" s="623">
        <f t="shared" si="40"/>
        <v>0</v>
      </c>
      <c r="T144" s="623">
        <f t="shared" si="40"/>
        <v>0</v>
      </c>
      <c r="U144" s="623">
        <f t="shared" si="40"/>
        <v>0</v>
      </c>
      <c r="V144" s="623">
        <f t="shared" si="40"/>
        <v>0</v>
      </c>
      <c r="W144" s="556">
        <f t="shared" si="40"/>
        <v>0</v>
      </c>
      <c r="X144" s="63" t="str">
        <f>IF(H144=W144,"OK","Error")</f>
        <v>OK</v>
      </c>
      <c r="Y144" s="289">
        <v>0</v>
      </c>
      <c r="Z144" s="289">
        <f>H144-Y144</f>
        <v>0</v>
      </c>
    </row>
    <row r="145" spans="3:26" s="63" customFormat="1" ht="12" outlineLevel="1" x14ac:dyDescent="0.2">
      <c r="C145" s="64"/>
      <c r="D145" s="294"/>
      <c r="E145" s="301"/>
      <c r="F145" s="281"/>
      <c r="G145" s="678"/>
      <c r="H145" s="552"/>
      <c r="J145" s="622"/>
      <c r="K145" s="560"/>
      <c r="L145" s="560"/>
      <c r="M145" s="560"/>
      <c r="N145" s="560"/>
      <c r="O145" s="560"/>
      <c r="P145" s="560"/>
      <c r="Q145" s="560"/>
      <c r="R145" s="560"/>
      <c r="S145" s="560"/>
      <c r="T145" s="560"/>
      <c r="U145" s="560"/>
      <c r="V145" s="560"/>
      <c r="W145" s="552"/>
      <c r="Y145" s="289"/>
      <c r="Z145" s="289"/>
    </row>
    <row r="146" spans="3:26" s="63" customFormat="1" ht="12" outlineLevel="1" x14ac:dyDescent="0.2">
      <c r="C146" s="208">
        <v>6523</v>
      </c>
      <c r="D146" s="294"/>
      <c r="E146" s="301" t="s">
        <v>26</v>
      </c>
      <c r="F146" s="281"/>
      <c r="G146" s="678"/>
      <c r="H146" s="552"/>
      <c r="J146" s="622"/>
      <c r="K146" s="560"/>
      <c r="L146" s="560"/>
      <c r="M146" s="560"/>
      <c r="N146" s="560"/>
      <c r="O146" s="560"/>
      <c r="P146" s="560"/>
      <c r="Q146" s="560"/>
      <c r="R146" s="560"/>
      <c r="S146" s="560"/>
      <c r="T146" s="560"/>
      <c r="U146" s="560"/>
      <c r="V146" s="560"/>
      <c r="W146" s="552"/>
      <c r="Y146" s="289"/>
      <c r="Z146" s="289"/>
    </row>
    <row r="147" spans="3:26" s="63" customFormat="1" ht="12" outlineLevel="1" x14ac:dyDescent="0.2">
      <c r="C147" s="64"/>
      <c r="D147" s="595" t="s">
        <v>258</v>
      </c>
      <c r="E147" s="596"/>
      <c r="F147" s="597">
        <v>0</v>
      </c>
      <c r="G147" s="614">
        <v>0</v>
      </c>
      <c r="H147" s="618">
        <f>IF(J147="NO", F147*G147,SUM(J147:V147))</f>
        <v>0</v>
      </c>
      <c r="J147" s="631" t="s">
        <v>542</v>
      </c>
      <c r="K147" s="614">
        <v>0</v>
      </c>
      <c r="L147" s="614">
        <v>0</v>
      </c>
      <c r="M147" s="614">
        <v>0</v>
      </c>
      <c r="N147" s="614">
        <v>0</v>
      </c>
      <c r="O147" s="614">
        <v>0</v>
      </c>
      <c r="P147" s="614">
        <v>0</v>
      </c>
      <c r="Q147" s="614">
        <v>0</v>
      </c>
      <c r="R147" s="614">
        <v>0</v>
      </c>
      <c r="S147" s="614">
        <v>0</v>
      </c>
      <c r="T147" s="614">
        <v>0</v>
      </c>
      <c r="U147" s="614">
        <v>0</v>
      </c>
      <c r="V147" s="614">
        <v>0</v>
      </c>
      <c r="W147" s="554">
        <f>U147*V147</f>
        <v>0</v>
      </c>
      <c r="Y147" s="289"/>
      <c r="Z147" s="289"/>
    </row>
    <row r="148" spans="3:26" s="63" customFormat="1" ht="12" outlineLevel="1" x14ac:dyDescent="0.2">
      <c r="C148" s="64"/>
      <c r="D148" s="595" t="s">
        <v>258</v>
      </c>
      <c r="E148" s="596"/>
      <c r="F148" s="597">
        <v>0</v>
      </c>
      <c r="G148" s="614">
        <v>0</v>
      </c>
      <c r="H148" s="618">
        <f>IF(J148="NO", F148*G148,SUM(J148:V148))</f>
        <v>0</v>
      </c>
      <c r="J148" s="631" t="s">
        <v>542</v>
      </c>
      <c r="K148" s="614">
        <v>0</v>
      </c>
      <c r="L148" s="614">
        <v>0</v>
      </c>
      <c r="M148" s="614">
        <v>0</v>
      </c>
      <c r="N148" s="614">
        <v>0</v>
      </c>
      <c r="O148" s="614">
        <v>0</v>
      </c>
      <c r="P148" s="614">
        <v>0</v>
      </c>
      <c r="Q148" s="614">
        <v>0</v>
      </c>
      <c r="R148" s="614">
        <v>0</v>
      </c>
      <c r="S148" s="614">
        <v>0</v>
      </c>
      <c r="T148" s="614">
        <v>0</v>
      </c>
      <c r="U148" s="614">
        <v>0</v>
      </c>
      <c r="V148" s="614">
        <v>0</v>
      </c>
      <c r="W148" s="554">
        <f>U148*V148</f>
        <v>0</v>
      </c>
      <c r="Y148" s="289"/>
      <c r="Z148" s="289"/>
    </row>
    <row r="149" spans="3:26" s="63" customFormat="1" ht="12" outlineLevel="1" x14ac:dyDescent="0.2">
      <c r="C149" s="64"/>
      <c r="D149" s="595" t="s">
        <v>258</v>
      </c>
      <c r="E149" s="596"/>
      <c r="F149" s="597">
        <v>0</v>
      </c>
      <c r="G149" s="614">
        <v>0</v>
      </c>
      <c r="H149" s="618">
        <f>IF(J149="NO", F149*G149,SUM(J149:V149))</f>
        <v>0</v>
      </c>
      <c r="J149" s="631" t="s">
        <v>542</v>
      </c>
      <c r="K149" s="614">
        <v>0</v>
      </c>
      <c r="L149" s="614">
        <v>0</v>
      </c>
      <c r="M149" s="614">
        <v>0</v>
      </c>
      <c r="N149" s="614">
        <v>0</v>
      </c>
      <c r="O149" s="614">
        <v>0</v>
      </c>
      <c r="P149" s="614">
        <v>0</v>
      </c>
      <c r="Q149" s="614">
        <v>0</v>
      </c>
      <c r="R149" s="614">
        <v>0</v>
      </c>
      <c r="S149" s="614">
        <v>0</v>
      </c>
      <c r="T149" s="614">
        <v>0</v>
      </c>
      <c r="U149" s="614">
        <v>0</v>
      </c>
      <c r="V149" s="614">
        <v>0</v>
      </c>
      <c r="W149" s="554">
        <f>U149*V149</f>
        <v>0</v>
      </c>
      <c r="Y149" s="289"/>
      <c r="Z149" s="289"/>
    </row>
    <row r="150" spans="3:26" s="63" customFormat="1" ht="12" outlineLevel="1" x14ac:dyDescent="0.2">
      <c r="C150" s="64"/>
      <c r="D150" s="595" t="s">
        <v>258</v>
      </c>
      <c r="E150" s="596"/>
      <c r="F150" s="597">
        <v>0</v>
      </c>
      <c r="G150" s="614">
        <v>0</v>
      </c>
      <c r="H150" s="618">
        <f>IF(J150="NO", F150*G150,SUM(J150:V150))</f>
        <v>0</v>
      </c>
      <c r="J150" s="631" t="s">
        <v>542</v>
      </c>
      <c r="K150" s="614">
        <v>0</v>
      </c>
      <c r="L150" s="614">
        <v>0</v>
      </c>
      <c r="M150" s="614">
        <v>0</v>
      </c>
      <c r="N150" s="614">
        <v>0</v>
      </c>
      <c r="O150" s="614">
        <v>0</v>
      </c>
      <c r="P150" s="614">
        <v>0</v>
      </c>
      <c r="Q150" s="614">
        <v>0</v>
      </c>
      <c r="R150" s="614">
        <v>0</v>
      </c>
      <c r="S150" s="614">
        <v>0</v>
      </c>
      <c r="T150" s="614">
        <v>0</v>
      </c>
      <c r="U150" s="614">
        <v>0</v>
      </c>
      <c r="V150" s="614">
        <v>0</v>
      </c>
      <c r="W150" s="554">
        <f>U150*V150</f>
        <v>0</v>
      </c>
      <c r="Y150" s="289"/>
      <c r="Z150" s="289"/>
    </row>
    <row r="151" spans="3:26" s="63" customFormat="1" ht="12" outlineLevel="1" x14ac:dyDescent="0.2">
      <c r="C151" s="64"/>
      <c r="D151" s="595" t="s">
        <v>258</v>
      </c>
      <c r="E151" s="596"/>
      <c r="F151" s="597">
        <v>0</v>
      </c>
      <c r="G151" s="614">
        <v>0</v>
      </c>
      <c r="H151" s="618">
        <f>IF(J151="NO", F151*G151,SUM(J151:V151))</f>
        <v>0</v>
      </c>
      <c r="J151" s="631" t="s">
        <v>542</v>
      </c>
      <c r="K151" s="614">
        <v>0</v>
      </c>
      <c r="L151" s="614">
        <v>0</v>
      </c>
      <c r="M151" s="614">
        <v>0</v>
      </c>
      <c r="N151" s="614">
        <v>0</v>
      </c>
      <c r="O151" s="614">
        <v>0</v>
      </c>
      <c r="P151" s="614">
        <v>0</v>
      </c>
      <c r="Q151" s="614">
        <v>0</v>
      </c>
      <c r="R151" s="614">
        <v>0</v>
      </c>
      <c r="S151" s="614">
        <v>0</v>
      </c>
      <c r="T151" s="614">
        <v>0</v>
      </c>
      <c r="U151" s="614">
        <v>0</v>
      </c>
      <c r="V151" s="614">
        <v>0</v>
      </c>
      <c r="W151" s="554">
        <f>U151*V151</f>
        <v>0</v>
      </c>
      <c r="Y151" s="289"/>
      <c r="Z151" s="289"/>
    </row>
    <row r="152" spans="3:26" s="63" customFormat="1" ht="3.6" customHeight="1" outlineLevel="1" thickBot="1" x14ac:dyDescent="0.25">
      <c r="C152" s="64"/>
      <c r="D152" s="296"/>
      <c r="E152" s="302"/>
      <c r="F152" s="283"/>
      <c r="G152" s="619"/>
      <c r="H152" s="555"/>
      <c r="J152" s="627"/>
      <c r="K152" s="562"/>
      <c r="L152" s="562"/>
      <c r="M152" s="562"/>
      <c r="N152" s="562"/>
      <c r="O152" s="562"/>
      <c r="P152" s="562"/>
      <c r="Q152" s="562"/>
      <c r="R152" s="562"/>
      <c r="S152" s="562"/>
      <c r="T152" s="562"/>
      <c r="U152" s="562"/>
      <c r="V152" s="562"/>
      <c r="W152" s="555"/>
      <c r="Y152" s="289"/>
      <c r="Z152" s="289"/>
    </row>
    <row r="153" spans="3:26" s="63" customFormat="1" ht="12.75" thickBot="1" x14ac:dyDescent="0.25">
      <c r="C153" s="64"/>
      <c r="D153" s="294"/>
      <c r="E153" s="301"/>
      <c r="F153" s="284" t="str">
        <f>E146</f>
        <v>Fidelity / Other Insurance ''Umbrella''</v>
      </c>
      <c r="G153" s="679">
        <f>C146</f>
        <v>6523</v>
      </c>
      <c r="H153" s="556">
        <f>SUBTOTAL(9,H147:H152)</f>
        <v>0</v>
      </c>
      <c r="J153" s="629"/>
      <c r="K153" s="623">
        <f t="shared" ref="K153:W153" si="41">SUBTOTAL(9,K147:K152)</f>
        <v>0</v>
      </c>
      <c r="L153" s="623">
        <f t="shared" si="41"/>
        <v>0</v>
      </c>
      <c r="M153" s="623">
        <f t="shared" si="41"/>
        <v>0</v>
      </c>
      <c r="N153" s="623">
        <f t="shared" si="41"/>
        <v>0</v>
      </c>
      <c r="O153" s="623">
        <f t="shared" si="41"/>
        <v>0</v>
      </c>
      <c r="P153" s="623">
        <f t="shared" si="41"/>
        <v>0</v>
      </c>
      <c r="Q153" s="623">
        <f t="shared" si="41"/>
        <v>0</v>
      </c>
      <c r="R153" s="623">
        <f t="shared" si="41"/>
        <v>0</v>
      </c>
      <c r="S153" s="623">
        <f t="shared" si="41"/>
        <v>0</v>
      </c>
      <c r="T153" s="623">
        <f t="shared" si="41"/>
        <v>0</v>
      </c>
      <c r="U153" s="623">
        <f t="shared" si="41"/>
        <v>0</v>
      </c>
      <c r="V153" s="623">
        <f t="shared" si="41"/>
        <v>0</v>
      </c>
      <c r="W153" s="556">
        <f t="shared" si="41"/>
        <v>0</v>
      </c>
      <c r="X153" s="63" t="str">
        <f>IF(H153=W153,"OK","Error")</f>
        <v>OK</v>
      </c>
      <c r="Y153" s="289">
        <v>0</v>
      </c>
      <c r="Z153" s="289">
        <f>H153-Y153</f>
        <v>0</v>
      </c>
    </row>
    <row r="154" spans="3:26" s="63" customFormat="1" ht="12" outlineLevel="1" x14ac:dyDescent="0.2">
      <c r="C154" s="64"/>
      <c r="D154" s="294"/>
      <c r="E154" s="301"/>
      <c r="F154" s="281"/>
      <c r="G154" s="678"/>
      <c r="H154" s="552"/>
      <c r="J154" s="622"/>
      <c r="K154" s="560"/>
      <c r="L154" s="560"/>
      <c r="M154" s="560"/>
      <c r="N154" s="560"/>
      <c r="O154" s="560"/>
      <c r="P154" s="560"/>
      <c r="Q154" s="560"/>
      <c r="R154" s="560"/>
      <c r="S154" s="560"/>
      <c r="T154" s="560"/>
      <c r="U154" s="560"/>
      <c r="V154" s="560"/>
      <c r="W154" s="552"/>
      <c r="Y154" s="289"/>
      <c r="Z154" s="289"/>
    </row>
    <row r="155" spans="3:26" s="63" customFormat="1" ht="12" outlineLevel="1" x14ac:dyDescent="0.2">
      <c r="C155" s="208">
        <v>6531</v>
      </c>
      <c r="D155" s="294"/>
      <c r="E155" s="301" t="s">
        <v>327</v>
      </c>
      <c r="F155" s="281"/>
      <c r="G155" s="678"/>
      <c r="H155" s="552"/>
      <c r="J155" s="622"/>
      <c r="K155" s="560"/>
      <c r="L155" s="560"/>
      <c r="M155" s="560"/>
      <c r="N155" s="560"/>
      <c r="O155" s="560"/>
      <c r="P155" s="560"/>
      <c r="Q155" s="560"/>
      <c r="R155" s="560"/>
      <c r="S155" s="560"/>
      <c r="T155" s="560"/>
      <c r="U155" s="560"/>
      <c r="V155" s="560"/>
      <c r="W155" s="552"/>
      <c r="Y155" s="289"/>
      <c r="Z155" s="289"/>
    </row>
    <row r="156" spans="3:26" s="63" customFormat="1" ht="12" outlineLevel="1" x14ac:dyDescent="0.2">
      <c r="C156" s="64"/>
      <c r="D156" s="564" t="s">
        <v>268</v>
      </c>
      <c r="E156" s="565" t="s">
        <v>345</v>
      </c>
      <c r="F156" s="566">
        <v>12</v>
      </c>
      <c r="G156" s="612">
        <v>150</v>
      </c>
      <c r="H156" s="618">
        <f>IF(J156="NO", F156*G156,SUM(J156:V156))</f>
        <v>1800</v>
      </c>
      <c r="J156" s="626" t="s">
        <v>542</v>
      </c>
      <c r="K156" s="612">
        <f t="shared" ref="K156:V158" si="42">$F156*$G156/12</f>
        <v>150</v>
      </c>
      <c r="L156" s="612">
        <f t="shared" si="42"/>
        <v>150</v>
      </c>
      <c r="M156" s="612">
        <f t="shared" si="42"/>
        <v>150</v>
      </c>
      <c r="N156" s="612">
        <f t="shared" si="42"/>
        <v>150</v>
      </c>
      <c r="O156" s="612">
        <f t="shared" si="42"/>
        <v>150</v>
      </c>
      <c r="P156" s="612">
        <f t="shared" si="42"/>
        <v>150</v>
      </c>
      <c r="Q156" s="612">
        <f t="shared" si="42"/>
        <v>150</v>
      </c>
      <c r="R156" s="612">
        <f t="shared" si="42"/>
        <v>150</v>
      </c>
      <c r="S156" s="612">
        <f t="shared" si="42"/>
        <v>150</v>
      </c>
      <c r="T156" s="612">
        <f t="shared" si="42"/>
        <v>150</v>
      </c>
      <c r="U156" s="612">
        <f t="shared" si="42"/>
        <v>150</v>
      </c>
      <c r="V156" s="612">
        <f t="shared" si="42"/>
        <v>150</v>
      </c>
      <c r="W156" s="618">
        <f>SUM(K156:V156)</f>
        <v>1800</v>
      </c>
      <c r="Y156" s="289"/>
      <c r="Z156" s="289"/>
    </row>
    <row r="157" spans="3:26" s="63" customFormat="1" ht="12" outlineLevel="1" x14ac:dyDescent="0.2">
      <c r="C157" s="64"/>
      <c r="D157" s="564" t="s">
        <v>258</v>
      </c>
      <c r="E157" s="565" t="s">
        <v>520</v>
      </c>
      <c r="F157" s="566">
        <v>0</v>
      </c>
      <c r="G157" s="612">
        <v>0</v>
      </c>
      <c r="H157" s="618">
        <f>IF(J157="NO", F157*G157,SUM(J157:V157))</f>
        <v>0</v>
      </c>
      <c r="J157" s="626" t="s">
        <v>542</v>
      </c>
      <c r="K157" s="612">
        <f t="shared" si="42"/>
        <v>0</v>
      </c>
      <c r="L157" s="612">
        <f t="shared" si="42"/>
        <v>0</v>
      </c>
      <c r="M157" s="612">
        <f t="shared" si="42"/>
        <v>0</v>
      </c>
      <c r="N157" s="612">
        <f t="shared" si="42"/>
        <v>0</v>
      </c>
      <c r="O157" s="612">
        <f t="shared" si="42"/>
        <v>0</v>
      </c>
      <c r="P157" s="612">
        <f t="shared" si="42"/>
        <v>0</v>
      </c>
      <c r="Q157" s="612">
        <f t="shared" si="42"/>
        <v>0</v>
      </c>
      <c r="R157" s="612">
        <f t="shared" si="42"/>
        <v>0</v>
      </c>
      <c r="S157" s="612">
        <f t="shared" si="42"/>
        <v>0</v>
      </c>
      <c r="T157" s="612">
        <f t="shared" si="42"/>
        <v>0</v>
      </c>
      <c r="U157" s="612">
        <f t="shared" si="42"/>
        <v>0</v>
      </c>
      <c r="V157" s="612">
        <f t="shared" si="42"/>
        <v>0</v>
      </c>
      <c r="W157" s="618">
        <f>SUM(K157:V157)</f>
        <v>0</v>
      </c>
      <c r="Y157" s="289"/>
      <c r="Z157" s="289"/>
    </row>
    <row r="158" spans="3:26" s="63" customFormat="1" ht="12" outlineLevel="1" x14ac:dyDescent="0.2">
      <c r="C158" s="64"/>
      <c r="D158" s="564" t="s">
        <v>258</v>
      </c>
      <c r="E158" s="565"/>
      <c r="F158" s="566">
        <v>0</v>
      </c>
      <c r="G158" s="612">
        <v>0</v>
      </c>
      <c r="H158" s="618">
        <f>IF(J158="NO", F158*G158,SUM(J158:V158))</f>
        <v>0</v>
      </c>
      <c r="J158" s="626" t="s">
        <v>542</v>
      </c>
      <c r="K158" s="612">
        <f t="shared" si="42"/>
        <v>0</v>
      </c>
      <c r="L158" s="612">
        <f t="shared" si="42"/>
        <v>0</v>
      </c>
      <c r="M158" s="612">
        <f t="shared" si="42"/>
        <v>0</v>
      </c>
      <c r="N158" s="612">
        <f t="shared" si="42"/>
        <v>0</v>
      </c>
      <c r="O158" s="612">
        <f t="shared" si="42"/>
        <v>0</v>
      </c>
      <c r="P158" s="612">
        <f t="shared" si="42"/>
        <v>0</v>
      </c>
      <c r="Q158" s="612">
        <f t="shared" si="42"/>
        <v>0</v>
      </c>
      <c r="R158" s="612">
        <f t="shared" si="42"/>
        <v>0</v>
      </c>
      <c r="S158" s="612">
        <f t="shared" si="42"/>
        <v>0</v>
      </c>
      <c r="T158" s="612">
        <f t="shared" si="42"/>
        <v>0</v>
      </c>
      <c r="U158" s="612">
        <f t="shared" si="42"/>
        <v>0</v>
      </c>
      <c r="V158" s="612">
        <f t="shared" si="42"/>
        <v>0</v>
      </c>
      <c r="W158" s="618">
        <f>SUM(K158:V158)</f>
        <v>0</v>
      </c>
      <c r="Y158" s="289"/>
      <c r="Z158" s="289"/>
    </row>
    <row r="159" spans="3:26" s="63" customFormat="1" ht="3.6" customHeight="1" outlineLevel="1" thickBot="1" x14ac:dyDescent="0.25">
      <c r="C159" s="64"/>
      <c r="D159" s="296"/>
      <c r="E159" s="302"/>
      <c r="F159" s="283"/>
      <c r="G159" s="619"/>
      <c r="H159" s="555"/>
      <c r="J159" s="627"/>
      <c r="K159" s="562"/>
      <c r="L159" s="562"/>
      <c r="M159" s="562"/>
      <c r="N159" s="562"/>
      <c r="O159" s="562"/>
      <c r="P159" s="562"/>
      <c r="Q159" s="562"/>
      <c r="R159" s="562"/>
      <c r="S159" s="562"/>
      <c r="T159" s="562"/>
      <c r="U159" s="562"/>
      <c r="V159" s="562"/>
      <c r="W159" s="555"/>
      <c r="Y159" s="289"/>
      <c r="Z159" s="289"/>
    </row>
    <row r="160" spans="3:26" s="63" customFormat="1" ht="12.75" thickBot="1" x14ac:dyDescent="0.25">
      <c r="C160" s="64"/>
      <c r="D160" s="294"/>
      <c r="E160" s="301"/>
      <c r="F160" s="284" t="str">
        <f>E155</f>
        <v>Postage and Stamps</v>
      </c>
      <c r="G160" s="679">
        <f>C155</f>
        <v>6531</v>
      </c>
      <c r="H160" s="556">
        <f>SUBTOTAL(9,H156:H159)</f>
        <v>1800</v>
      </c>
      <c r="J160" s="629"/>
      <c r="K160" s="623">
        <f t="shared" ref="K160:W160" si="43">SUBTOTAL(9,K156:K159)</f>
        <v>150</v>
      </c>
      <c r="L160" s="623">
        <f t="shared" si="43"/>
        <v>150</v>
      </c>
      <c r="M160" s="623">
        <f t="shared" si="43"/>
        <v>150</v>
      </c>
      <c r="N160" s="623">
        <f t="shared" si="43"/>
        <v>150</v>
      </c>
      <c r="O160" s="623">
        <f t="shared" si="43"/>
        <v>150</v>
      </c>
      <c r="P160" s="623">
        <f t="shared" si="43"/>
        <v>150</v>
      </c>
      <c r="Q160" s="623">
        <f t="shared" si="43"/>
        <v>150</v>
      </c>
      <c r="R160" s="623">
        <f t="shared" si="43"/>
        <v>150</v>
      </c>
      <c r="S160" s="623">
        <f t="shared" si="43"/>
        <v>150</v>
      </c>
      <c r="T160" s="623">
        <f t="shared" si="43"/>
        <v>150</v>
      </c>
      <c r="U160" s="623">
        <f t="shared" si="43"/>
        <v>150</v>
      </c>
      <c r="V160" s="623">
        <f t="shared" si="43"/>
        <v>150</v>
      </c>
      <c r="W160" s="556">
        <f t="shared" si="43"/>
        <v>1800</v>
      </c>
      <c r="X160" s="63" t="str">
        <f>IF(H160=W160,"OK","Error")</f>
        <v>OK</v>
      </c>
      <c r="Y160" s="289">
        <v>0</v>
      </c>
      <c r="Z160" s="289">
        <f>H160-Y160</f>
        <v>1800</v>
      </c>
    </row>
    <row r="161" spans="3:26" s="63" customFormat="1" ht="12" outlineLevel="1" x14ac:dyDescent="0.2">
      <c r="C161" s="64"/>
      <c r="D161" s="294"/>
      <c r="E161" s="301"/>
      <c r="F161" s="281"/>
      <c r="G161" s="678"/>
      <c r="H161" s="552"/>
      <c r="J161" s="622"/>
      <c r="K161" s="560"/>
      <c r="L161" s="560"/>
      <c r="M161" s="560"/>
      <c r="N161" s="560"/>
      <c r="O161" s="560"/>
      <c r="P161" s="560"/>
      <c r="Q161" s="560"/>
      <c r="R161" s="560"/>
      <c r="S161" s="560"/>
      <c r="T161" s="560"/>
      <c r="U161" s="560"/>
      <c r="V161" s="560"/>
      <c r="W161" s="552"/>
      <c r="Y161" s="289"/>
      <c r="Z161" s="289"/>
    </row>
    <row r="162" spans="3:26" s="63" customFormat="1" ht="12" outlineLevel="1" x14ac:dyDescent="0.2">
      <c r="C162" s="208">
        <v>6534</v>
      </c>
      <c r="D162" s="294"/>
      <c r="E162" s="301" t="s">
        <v>28</v>
      </c>
      <c r="F162" s="281"/>
      <c r="G162" s="678"/>
      <c r="H162" s="552"/>
      <c r="J162" s="622"/>
      <c r="K162" s="560"/>
      <c r="L162" s="560"/>
      <c r="M162" s="560"/>
      <c r="N162" s="560"/>
      <c r="O162" s="560"/>
      <c r="P162" s="560"/>
      <c r="Q162" s="560"/>
      <c r="R162" s="560"/>
      <c r="S162" s="560"/>
      <c r="T162" s="560"/>
      <c r="U162" s="560"/>
      <c r="V162" s="560"/>
      <c r="W162" s="552"/>
      <c r="Y162" s="289"/>
      <c r="Z162" s="289"/>
    </row>
    <row r="163" spans="3:26" s="63" customFormat="1" ht="12" outlineLevel="1" x14ac:dyDescent="0.2">
      <c r="C163" s="64"/>
      <c r="D163" s="564" t="s">
        <v>258</v>
      </c>
      <c r="E163" s="565" t="s">
        <v>520</v>
      </c>
      <c r="F163" s="566">
        <v>0</v>
      </c>
      <c r="G163" s="612">
        <v>0</v>
      </c>
      <c r="H163" s="618">
        <f>IF(J163="NO", F163*G163,SUM(J163:V163))</f>
        <v>0</v>
      </c>
      <c r="J163" s="626" t="s">
        <v>542</v>
      </c>
      <c r="K163" s="612">
        <f t="shared" ref="K163:V164" si="44">$F163*$G163/12</f>
        <v>0</v>
      </c>
      <c r="L163" s="612">
        <f t="shared" si="44"/>
        <v>0</v>
      </c>
      <c r="M163" s="612">
        <f t="shared" si="44"/>
        <v>0</v>
      </c>
      <c r="N163" s="612">
        <f t="shared" si="44"/>
        <v>0</v>
      </c>
      <c r="O163" s="612">
        <f t="shared" si="44"/>
        <v>0</v>
      </c>
      <c r="P163" s="612">
        <f t="shared" si="44"/>
        <v>0</v>
      </c>
      <c r="Q163" s="612">
        <f t="shared" si="44"/>
        <v>0</v>
      </c>
      <c r="R163" s="612">
        <f t="shared" si="44"/>
        <v>0</v>
      </c>
      <c r="S163" s="612">
        <f t="shared" si="44"/>
        <v>0</v>
      </c>
      <c r="T163" s="612">
        <f t="shared" si="44"/>
        <v>0</v>
      </c>
      <c r="U163" s="612">
        <f t="shared" si="44"/>
        <v>0</v>
      </c>
      <c r="V163" s="612">
        <f t="shared" si="44"/>
        <v>0</v>
      </c>
      <c r="W163" s="618">
        <f>SUM(K163:V163)</f>
        <v>0</v>
      </c>
      <c r="Y163" s="289"/>
      <c r="Z163" s="289"/>
    </row>
    <row r="164" spans="3:26" s="63" customFormat="1" ht="12" outlineLevel="1" x14ac:dyDescent="0.2">
      <c r="C164" s="64"/>
      <c r="D164" s="564" t="s">
        <v>258</v>
      </c>
      <c r="E164" s="565"/>
      <c r="F164" s="566">
        <v>0</v>
      </c>
      <c r="G164" s="612">
        <v>0</v>
      </c>
      <c r="H164" s="618">
        <f>IF(J164="NO", F164*G164,SUM(J164:V164))</f>
        <v>0</v>
      </c>
      <c r="J164" s="626" t="s">
        <v>542</v>
      </c>
      <c r="K164" s="612">
        <f t="shared" si="44"/>
        <v>0</v>
      </c>
      <c r="L164" s="612">
        <f t="shared" si="44"/>
        <v>0</v>
      </c>
      <c r="M164" s="612">
        <f t="shared" si="44"/>
        <v>0</v>
      </c>
      <c r="N164" s="612">
        <f t="shared" si="44"/>
        <v>0</v>
      </c>
      <c r="O164" s="612">
        <f t="shared" si="44"/>
        <v>0</v>
      </c>
      <c r="P164" s="612">
        <f t="shared" si="44"/>
        <v>0</v>
      </c>
      <c r="Q164" s="612">
        <f t="shared" si="44"/>
        <v>0</v>
      </c>
      <c r="R164" s="612">
        <f t="shared" si="44"/>
        <v>0</v>
      </c>
      <c r="S164" s="612">
        <f t="shared" si="44"/>
        <v>0</v>
      </c>
      <c r="T164" s="612">
        <f t="shared" si="44"/>
        <v>0</v>
      </c>
      <c r="U164" s="612">
        <f t="shared" si="44"/>
        <v>0</v>
      </c>
      <c r="V164" s="612">
        <f t="shared" si="44"/>
        <v>0</v>
      </c>
      <c r="W164" s="618">
        <f>SUM(K164:V164)</f>
        <v>0</v>
      </c>
      <c r="Y164" s="289"/>
      <c r="Z164" s="289"/>
    </row>
    <row r="165" spans="3:26" s="63" customFormat="1" ht="3.6" customHeight="1" outlineLevel="1" thickBot="1" x14ac:dyDescent="0.25">
      <c r="C165" s="64"/>
      <c r="D165" s="296"/>
      <c r="E165" s="302"/>
      <c r="F165" s="283"/>
      <c r="G165" s="619"/>
      <c r="H165" s="555"/>
      <c r="J165" s="627"/>
      <c r="K165" s="562"/>
      <c r="L165" s="562"/>
      <c r="M165" s="562"/>
      <c r="N165" s="562"/>
      <c r="O165" s="562"/>
      <c r="P165" s="562"/>
      <c r="Q165" s="562"/>
      <c r="R165" s="562"/>
      <c r="S165" s="562"/>
      <c r="T165" s="562"/>
      <c r="U165" s="562"/>
      <c r="V165" s="562"/>
      <c r="W165" s="555"/>
      <c r="Y165" s="289"/>
      <c r="Z165" s="289"/>
    </row>
    <row r="166" spans="3:26" s="63" customFormat="1" ht="12.75" thickBot="1" x14ac:dyDescent="0.25">
      <c r="C166" s="64"/>
      <c r="D166" s="294"/>
      <c r="E166" s="301"/>
      <c r="F166" s="284" t="str">
        <f>E162</f>
        <v>Telephone - Cell phone services</v>
      </c>
      <c r="G166" s="679">
        <f>C162</f>
        <v>6534</v>
      </c>
      <c r="H166" s="556">
        <f>SUBTOTAL(9,H163:H165)</f>
        <v>0</v>
      </c>
      <c r="J166" s="629"/>
      <c r="K166" s="623">
        <f t="shared" ref="K166:W166" si="45">SUBTOTAL(9,K163:K165)</f>
        <v>0</v>
      </c>
      <c r="L166" s="623">
        <f t="shared" si="45"/>
        <v>0</v>
      </c>
      <c r="M166" s="623">
        <f t="shared" si="45"/>
        <v>0</v>
      </c>
      <c r="N166" s="623">
        <f t="shared" si="45"/>
        <v>0</v>
      </c>
      <c r="O166" s="623">
        <f t="shared" si="45"/>
        <v>0</v>
      </c>
      <c r="P166" s="623">
        <f t="shared" si="45"/>
        <v>0</v>
      </c>
      <c r="Q166" s="623">
        <f t="shared" si="45"/>
        <v>0</v>
      </c>
      <c r="R166" s="623">
        <f t="shared" si="45"/>
        <v>0</v>
      </c>
      <c r="S166" s="623">
        <f t="shared" si="45"/>
        <v>0</v>
      </c>
      <c r="T166" s="623">
        <f t="shared" si="45"/>
        <v>0</v>
      </c>
      <c r="U166" s="623">
        <f t="shared" si="45"/>
        <v>0</v>
      </c>
      <c r="V166" s="623">
        <f t="shared" si="45"/>
        <v>0</v>
      </c>
      <c r="W166" s="556">
        <f t="shared" si="45"/>
        <v>0</v>
      </c>
      <c r="X166" s="63" t="str">
        <f>IF(H166=W166,"OK","Error")</f>
        <v>OK</v>
      </c>
      <c r="Y166" s="289">
        <v>0</v>
      </c>
      <c r="Z166" s="289">
        <f>H166-Y166</f>
        <v>0</v>
      </c>
    </row>
    <row r="167" spans="3:26" s="63" customFormat="1" ht="12" outlineLevel="1" x14ac:dyDescent="0.2">
      <c r="C167" s="64"/>
      <c r="D167" s="294"/>
      <c r="E167" s="301"/>
      <c r="F167" s="281"/>
      <c r="G167" s="678"/>
      <c r="H167" s="552"/>
      <c r="J167" s="622"/>
      <c r="K167" s="560"/>
      <c r="L167" s="560"/>
      <c r="M167" s="560"/>
      <c r="N167" s="560"/>
      <c r="O167" s="560"/>
      <c r="P167" s="560"/>
      <c r="Q167" s="560"/>
      <c r="R167" s="560"/>
      <c r="S167" s="560"/>
      <c r="T167" s="560"/>
      <c r="U167" s="560"/>
      <c r="V167" s="560"/>
      <c r="W167" s="552"/>
      <c r="Y167" s="289"/>
      <c r="Z167" s="289"/>
    </row>
    <row r="168" spans="3:26" s="63" customFormat="1" ht="12" outlineLevel="1" x14ac:dyDescent="0.2">
      <c r="C168" s="208">
        <v>6535</v>
      </c>
      <c r="D168" s="294"/>
      <c r="E168" s="301" t="s">
        <v>29</v>
      </c>
      <c r="F168" s="281"/>
      <c r="G168" s="678"/>
      <c r="H168" s="552"/>
      <c r="J168" s="622"/>
      <c r="K168" s="560"/>
      <c r="L168" s="560"/>
      <c r="M168" s="560"/>
      <c r="N168" s="560"/>
      <c r="O168" s="560"/>
      <c r="P168" s="560"/>
      <c r="Q168" s="560"/>
      <c r="R168" s="560"/>
      <c r="S168" s="560"/>
      <c r="T168" s="560"/>
      <c r="U168" s="560"/>
      <c r="V168" s="560"/>
      <c r="W168" s="552"/>
      <c r="Y168" s="289"/>
      <c r="Z168" s="289"/>
    </row>
    <row r="169" spans="3:26" s="63" customFormat="1" ht="12" outlineLevel="1" x14ac:dyDescent="0.2">
      <c r="C169" s="64"/>
      <c r="D169" s="570" t="s">
        <v>259</v>
      </c>
      <c r="E169" s="571" t="s">
        <v>567</v>
      </c>
      <c r="F169" s="576">
        <v>12</v>
      </c>
      <c r="G169" s="613">
        <v>145</v>
      </c>
      <c r="H169" s="618">
        <f>IF(J169="NO", F169*G169,SUM(J169:V169))</f>
        <v>1740</v>
      </c>
      <c r="J169" s="630" t="s">
        <v>542</v>
      </c>
      <c r="K169" s="611">
        <f t="shared" ref="K169:V171" si="46">$F169*$G169/12</f>
        <v>145</v>
      </c>
      <c r="L169" s="611">
        <f t="shared" si="46"/>
        <v>145</v>
      </c>
      <c r="M169" s="611">
        <f t="shared" si="46"/>
        <v>145</v>
      </c>
      <c r="N169" s="611">
        <f t="shared" si="46"/>
        <v>145</v>
      </c>
      <c r="O169" s="611">
        <f t="shared" si="46"/>
        <v>145</v>
      </c>
      <c r="P169" s="611">
        <f t="shared" si="46"/>
        <v>145</v>
      </c>
      <c r="Q169" s="611">
        <f t="shared" si="46"/>
        <v>145</v>
      </c>
      <c r="R169" s="611">
        <f t="shared" si="46"/>
        <v>145</v>
      </c>
      <c r="S169" s="611">
        <f t="shared" si="46"/>
        <v>145</v>
      </c>
      <c r="T169" s="611">
        <f t="shared" si="46"/>
        <v>145</v>
      </c>
      <c r="U169" s="611">
        <f t="shared" si="46"/>
        <v>145</v>
      </c>
      <c r="V169" s="611">
        <f t="shared" si="46"/>
        <v>145</v>
      </c>
      <c r="W169" s="618">
        <f>SUM(K169:V169)</f>
        <v>1740</v>
      </c>
      <c r="Y169" s="289"/>
      <c r="Z169" s="289"/>
    </row>
    <row r="170" spans="3:26" s="63" customFormat="1" ht="12" outlineLevel="1" x14ac:dyDescent="0.2">
      <c r="C170" s="64"/>
      <c r="D170" s="564" t="s">
        <v>258</v>
      </c>
      <c r="E170" s="565" t="s">
        <v>520</v>
      </c>
      <c r="F170" s="566">
        <v>0</v>
      </c>
      <c r="G170" s="612">
        <v>0</v>
      </c>
      <c r="H170" s="618">
        <f>IF(J170="NO", F170*G170,SUM(J170:V170))</f>
        <v>0</v>
      </c>
      <c r="J170" s="626" t="s">
        <v>542</v>
      </c>
      <c r="K170" s="612">
        <f t="shared" si="46"/>
        <v>0</v>
      </c>
      <c r="L170" s="612">
        <f t="shared" si="46"/>
        <v>0</v>
      </c>
      <c r="M170" s="612">
        <f t="shared" si="46"/>
        <v>0</v>
      </c>
      <c r="N170" s="612">
        <f t="shared" si="46"/>
        <v>0</v>
      </c>
      <c r="O170" s="612">
        <f t="shared" si="46"/>
        <v>0</v>
      </c>
      <c r="P170" s="612">
        <f t="shared" si="46"/>
        <v>0</v>
      </c>
      <c r="Q170" s="612">
        <f t="shared" si="46"/>
        <v>0</v>
      </c>
      <c r="R170" s="612">
        <f t="shared" si="46"/>
        <v>0</v>
      </c>
      <c r="S170" s="612">
        <f t="shared" si="46"/>
        <v>0</v>
      </c>
      <c r="T170" s="612">
        <f t="shared" si="46"/>
        <v>0</v>
      </c>
      <c r="U170" s="612">
        <f t="shared" si="46"/>
        <v>0</v>
      </c>
      <c r="V170" s="612">
        <f t="shared" si="46"/>
        <v>0</v>
      </c>
      <c r="W170" s="618">
        <f>SUM(K170:V170)</f>
        <v>0</v>
      </c>
      <c r="Y170" s="289"/>
      <c r="Z170" s="289"/>
    </row>
    <row r="171" spans="3:26" s="63" customFormat="1" ht="12" outlineLevel="1" x14ac:dyDescent="0.2">
      <c r="C171" s="64"/>
      <c r="D171" s="564" t="s">
        <v>258</v>
      </c>
      <c r="E171" s="565"/>
      <c r="F171" s="566">
        <v>0</v>
      </c>
      <c r="G171" s="612">
        <v>0</v>
      </c>
      <c r="H171" s="618">
        <f>IF(J171="NO", F171*G171,SUM(J171:V171))</f>
        <v>0</v>
      </c>
      <c r="J171" s="626" t="s">
        <v>542</v>
      </c>
      <c r="K171" s="612">
        <f t="shared" si="46"/>
        <v>0</v>
      </c>
      <c r="L171" s="612">
        <f t="shared" si="46"/>
        <v>0</v>
      </c>
      <c r="M171" s="612">
        <f t="shared" si="46"/>
        <v>0</v>
      </c>
      <c r="N171" s="612">
        <f t="shared" si="46"/>
        <v>0</v>
      </c>
      <c r="O171" s="612">
        <f t="shared" si="46"/>
        <v>0</v>
      </c>
      <c r="P171" s="612">
        <f t="shared" si="46"/>
        <v>0</v>
      </c>
      <c r="Q171" s="612">
        <f t="shared" si="46"/>
        <v>0</v>
      </c>
      <c r="R171" s="612">
        <f t="shared" si="46"/>
        <v>0</v>
      </c>
      <c r="S171" s="612">
        <f t="shared" si="46"/>
        <v>0</v>
      </c>
      <c r="T171" s="612">
        <f t="shared" si="46"/>
        <v>0</v>
      </c>
      <c r="U171" s="612">
        <f t="shared" si="46"/>
        <v>0</v>
      </c>
      <c r="V171" s="612">
        <f t="shared" si="46"/>
        <v>0</v>
      </c>
      <c r="W171" s="618">
        <f>SUM(K171:V171)</f>
        <v>0</v>
      </c>
      <c r="Y171" s="289"/>
      <c r="Z171" s="289"/>
    </row>
    <row r="172" spans="3:26" s="63" customFormat="1" ht="3.6" customHeight="1" outlineLevel="1" thickBot="1" x14ac:dyDescent="0.25">
      <c r="C172" s="64"/>
      <c r="D172" s="296"/>
      <c r="E172" s="302"/>
      <c r="F172" s="283"/>
      <c r="G172" s="619"/>
      <c r="H172" s="555"/>
      <c r="J172" s="627"/>
      <c r="K172" s="562"/>
      <c r="L172" s="562"/>
      <c r="M172" s="562"/>
      <c r="N172" s="562"/>
      <c r="O172" s="562"/>
      <c r="P172" s="562"/>
      <c r="Q172" s="562"/>
      <c r="R172" s="562"/>
      <c r="S172" s="562"/>
      <c r="T172" s="562"/>
      <c r="U172" s="562"/>
      <c r="V172" s="562"/>
      <c r="W172" s="555"/>
      <c r="Y172" s="289"/>
      <c r="Z172" s="289"/>
    </row>
    <row r="173" spans="3:26" s="63" customFormat="1" ht="12.75" thickBot="1" x14ac:dyDescent="0.25">
      <c r="C173" s="64"/>
      <c r="D173" s="294"/>
      <c r="E173" s="301"/>
      <c r="F173" s="284" t="str">
        <f>E168</f>
        <v>Data Communications, Internet, Video, T-lines, etc</v>
      </c>
      <c r="G173" s="679">
        <f>C168</f>
        <v>6535</v>
      </c>
      <c r="H173" s="556">
        <f>SUBTOTAL(9,H169:H172)</f>
        <v>1740</v>
      </c>
      <c r="J173" s="629"/>
      <c r="K173" s="623">
        <f t="shared" ref="K173:V173" si="47">SUBTOTAL(9,K169:K172)</f>
        <v>145</v>
      </c>
      <c r="L173" s="623">
        <f t="shared" si="47"/>
        <v>145</v>
      </c>
      <c r="M173" s="623">
        <f t="shared" si="47"/>
        <v>145</v>
      </c>
      <c r="N173" s="623">
        <f t="shared" si="47"/>
        <v>145</v>
      </c>
      <c r="O173" s="623">
        <f t="shared" si="47"/>
        <v>145</v>
      </c>
      <c r="P173" s="623">
        <f t="shared" si="47"/>
        <v>145</v>
      </c>
      <c r="Q173" s="623">
        <f t="shared" si="47"/>
        <v>145</v>
      </c>
      <c r="R173" s="623">
        <f t="shared" si="47"/>
        <v>145</v>
      </c>
      <c r="S173" s="623">
        <f t="shared" si="47"/>
        <v>145</v>
      </c>
      <c r="T173" s="623">
        <f t="shared" si="47"/>
        <v>145</v>
      </c>
      <c r="U173" s="623">
        <f t="shared" si="47"/>
        <v>145</v>
      </c>
      <c r="V173" s="623">
        <f t="shared" si="47"/>
        <v>145</v>
      </c>
      <c r="W173" s="623">
        <f t="shared" ref="W173" si="48">SUBTOTAL(9,W169:W172)</f>
        <v>1740</v>
      </c>
      <c r="X173" s="63" t="str">
        <f>IF(H173=W173,"OK","Error")</f>
        <v>OK</v>
      </c>
      <c r="Y173" s="289">
        <v>0</v>
      </c>
      <c r="Z173" s="289">
        <f>H173-Y173</f>
        <v>1740</v>
      </c>
    </row>
    <row r="174" spans="3:26" s="63" customFormat="1" ht="12" outlineLevel="1" x14ac:dyDescent="0.2">
      <c r="C174" s="64"/>
      <c r="D174" s="294"/>
      <c r="E174" s="301"/>
      <c r="F174" s="281"/>
      <c r="G174" s="678"/>
      <c r="H174" s="552"/>
      <c r="J174" s="622"/>
      <c r="K174" s="560"/>
      <c r="L174" s="560"/>
      <c r="M174" s="560"/>
      <c r="N174" s="560"/>
      <c r="O174" s="560"/>
      <c r="P174" s="560"/>
      <c r="Q174" s="560"/>
      <c r="R174" s="560"/>
      <c r="S174" s="560"/>
      <c r="T174" s="560"/>
      <c r="U174" s="560"/>
      <c r="V174" s="560"/>
      <c r="W174" s="552"/>
      <c r="Y174" s="289"/>
      <c r="Z174" s="289"/>
    </row>
    <row r="175" spans="3:26" s="63" customFormat="1" ht="12" outlineLevel="1" x14ac:dyDescent="0.2">
      <c r="C175" s="208">
        <v>6540</v>
      </c>
      <c r="D175" s="294"/>
      <c r="E175" s="301" t="s">
        <v>30</v>
      </c>
      <c r="F175" s="281"/>
      <c r="G175" s="678"/>
      <c r="H175" s="552"/>
      <c r="J175" s="622"/>
      <c r="K175" s="560"/>
      <c r="L175" s="560"/>
      <c r="M175" s="560"/>
      <c r="N175" s="560"/>
      <c r="O175" s="560"/>
      <c r="P175" s="560"/>
      <c r="Q175" s="560"/>
      <c r="R175" s="560"/>
      <c r="S175" s="560"/>
      <c r="T175" s="560"/>
      <c r="U175" s="560"/>
      <c r="V175" s="560"/>
      <c r="W175" s="552"/>
      <c r="Y175" s="289"/>
      <c r="Z175" s="289"/>
    </row>
    <row r="176" spans="3:26" s="63" customFormat="1" ht="12" outlineLevel="1" x14ac:dyDescent="0.2">
      <c r="C176" s="64"/>
      <c r="D176" s="564" t="s">
        <v>269</v>
      </c>
      <c r="E176" s="565" t="s">
        <v>615</v>
      </c>
      <c r="F176" s="566">
        <v>1</v>
      </c>
      <c r="G176" s="612">
        <v>2000</v>
      </c>
      <c r="H176" s="618">
        <f>IF(J176="NO", F176*G176,SUM(J176:V176))</f>
        <v>2000</v>
      </c>
      <c r="J176" s="626" t="s">
        <v>542</v>
      </c>
      <c r="K176" s="612">
        <f t="shared" ref="K176:V177" si="49">$F176*$G176/12</f>
        <v>166.66666666666666</v>
      </c>
      <c r="L176" s="612">
        <f t="shared" si="49"/>
        <v>166.66666666666666</v>
      </c>
      <c r="M176" s="612">
        <f t="shared" si="49"/>
        <v>166.66666666666666</v>
      </c>
      <c r="N176" s="612">
        <f t="shared" si="49"/>
        <v>166.66666666666666</v>
      </c>
      <c r="O176" s="612">
        <f t="shared" si="49"/>
        <v>166.66666666666666</v>
      </c>
      <c r="P176" s="612">
        <f t="shared" si="49"/>
        <v>166.66666666666666</v>
      </c>
      <c r="Q176" s="612">
        <f t="shared" si="49"/>
        <v>166.66666666666666</v>
      </c>
      <c r="R176" s="612">
        <f t="shared" si="49"/>
        <v>166.66666666666666</v>
      </c>
      <c r="S176" s="612">
        <f t="shared" si="49"/>
        <v>166.66666666666666</v>
      </c>
      <c r="T176" s="612">
        <f t="shared" si="49"/>
        <v>166.66666666666666</v>
      </c>
      <c r="U176" s="612">
        <f t="shared" si="49"/>
        <v>166.66666666666666</v>
      </c>
      <c r="V176" s="612">
        <f t="shared" si="49"/>
        <v>166.66666666666666</v>
      </c>
      <c r="W176" s="618">
        <f>SUM(K176:V176)</f>
        <v>2000.0000000000002</v>
      </c>
      <c r="Y176" s="289"/>
      <c r="Z176" s="289"/>
    </row>
    <row r="177" spans="3:26" s="63" customFormat="1" ht="12" outlineLevel="1" x14ac:dyDescent="0.2">
      <c r="C177" s="64"/>
      <c r="D177" s="564" t="s">
        <v>258</v>
      </c>
      <c r="E177" s="565"/>
      <c r="F177" s="566">
        <v>0</v>
      </c>
      <c r="G177" s="612">
        <v>0</v>
      </c>
      <c r="H177" s="618">
        <f>IF(J177="NO", F177*G177,SUM(J177:V177))</f>
        <v>0</v>
      </c>
      <c r="J177" s="626" t="s">
        <v>542</v>
      </c>
      <c r="K177" s="612">
        <f t="shared" si="49"/>
        <v>0</v>
      </c>
      <c r="L177" s="612">
        <f t="shared" si="49"/>
        <v>0</v>
      </c>
      <c r="M177" s="612">
        <f t="shared" si="49"/>
        <v>0</v>
      </c>
      <c r="N177" s="612">
        <f t="shared" si="49"/>
        <v>0</v>
      </c>
      <c r="O177" s="612">
        <f t="shared" si="49"/>
        <v>0</v>
      </c>
      <c r="P177" s="612">
        <f t="shared" si="49"/>
        <v>0</v>
      </c>
      <c r="Q177" s="612">
        <f t="shared" si="49"/>
        <v>0</v>
      </c>
      <c r="R177" s="612">
        <f t="shared" si="49"/>
        <v>0</v>
      </c>
      <c r="S177" s="612">
        <f t="shared" si="49"/>
        <v>0</v>
      </c>
      <c r="T177" s="612">
        <f t="shared" si="49"/>
        <v>0</v>
      </c>
      <c r="U177" s="612">
        <f t="shared" si="49"/>
        <v>0</v>
      </c>
      <c r="V177" s="612">
        <f t="shared" si="49"/>
        <v>0</v>
      </c>
      <c r="W177" s="618">
        <f>SUM(K177:V177)</f>
        <v>0</v>
      </c>
      <c r="Y177" s="289"/>
      <c r="Z177" s="289"/>
    </row>
    <row r="178" spans="3:26" s="63" customFormat="1" ht="3.6" customHeight="1" outlineLevel="1" thickBot="1" x14ac:dyDescent="0.25">
      <c r="C178" s="64"/>
      <c r="D178" s="296"/>
      <c r="E178" s="302"/>
      <c r="F178" s="283"/>
      <c r="G178" s="619"/>
      <c r="H178" s="555"/>
      <c r="J178" s="627"/>
      <c r="K178" s="562"/>
      <c r="L178" s="562"/>
      <c r="M178" s="562"/>
      <c r="N178" s="562"/>
      <c r="O178" s="562"/>
      <c r="P178" s="562"/>
      <c r="Q178" s="562"/>
      <c r="R178" s="562"/>
      <c r="S178" s="562"/>
      <c r="T178" s="562"/>
      <c r="U178" s="562"/>
      <c r="V178" s="562"/>
      <c r="W178" s="555"/>
      <c r="Y178" s="289"/>
      <c r="Z178" s="289"/>
    </row>
    <row r="179" spans="3:26" s="63" customFormat="1" ht="12.75" thickBot="1" x14ac:dyDescent="0.25">
      <c r="C179" s="64"/>
      <c r="D179" s="294"/>
      <c r="E179" s="301"/>
      <c r="F179" s="284" t="str">
        <f>E175</f>
        <v>Advertising</v>
      </c>
      <c r="G179" s="679">
        <f>C175</f>
        <v>6540</v>
      </c>
      <c r="H179" s="556">
        <f>SUBTOTAL(9,H176:H178)</f>
        <v>2000</v>
      </c>
      <c r="J179" s="629"/>
      <c r="K179" s="623">
        <f t="shared" ref="K179:W179" si="50">SUBTOTAL(9,K176:K178)</f>
        <v>166.66666666666666</v>
      </c>
      <c r="L179" s="623">
        <f t="shared" si="50"/>
        <v>166.66666666666666</v>
      </c>
      <c r="M179" s="623">
        <f t="shared" si="50"/>
        <v>166.66666666666666</v>
      </c>
      <c r="N179" s="623">
        <f t="shared" si="50"/>
        <v>166.66666666666666</v>
      </c>
      <c r="O179" s="623">
        <f t="shared" si="50"/>
        <v>166.66666666666666</v>
      </c>
      <c r="P179" s="623">
        <f t="shared" si="50"/>
        <v>166.66666666666666</v>
      </c>
      <c r="Q179" s="623">
        <f t="shared" si="50"/>
        <v>166.66666666666666</v>
      </c>
      <c r="R179" s="623">
        <f t="shared" si="50"/>
        <v>166.66666666666666</v>
      </c>
      <c r="S179" s="623">
        <f t="shared" si="50"/>
        <v>166.66666666666666</v>
      </c>
      <c r="T179" s="623">
        <f t="shared" si="50"/>
        <v>166.66666666666666</v>
      </c>
      <c r="U179" s="623">
        <f t="shared" si="50"/>
        <v>166.66666666666666</v>
      </c>
      <c r="V179" s="623">
        <f t="shared" si="50"/>
        <v>166.66666666666666</v>
      </c>
      <c r="W179" s="556">
        <f t="shared" si="50"/>
        <v>2000.0000000000002</v>
      </c>
      <c r="X179" s="63" t="str">
        <f>IF(H179=W179,"OK","Error")</f>
        <v>OK</v>
      </c>
      <c r="Y179" s="289">
        <v>0</v>
      </c>
      <c r="Z179" s="289">
        <f>H179-Y179</f>
        <v>2000</v>
      </c>
    </row>
    <row r="180" spans="3:26" s="63" customFormat="1" ht="12" outlineLevel="1" x14ac:dyDescent="0.2">
      <c r="C180" s="64"/>
      <c r="D180" s="294"/>
      <c r="E180" s="301"/>
      <c r="F180" s="281"/>
      <c r="G180" s="678"/>
      <c r="H180" s="552"/>
      <c r="J180" s="622"/>
      <c r="K180" s="560"/>
      <c r="L180" s="560"/>
      <c r="M180" s="560"/>
      <c r="N180" s="560"/>
      <c r="O180" s="560"/>
      <c r="P180" s="560"/>
      <c r="Q180" s="560"/>
      <c r="R180" s="560"/>
      <c r="S180" s="560"/>
      <c r="T180" s="560"/>
      <c r="U180" s="560"/>
      <c r="V180" s="560"/>
      <c r="W180" s="552"/>
      <c r="Y180" s="289"/>
      <c r="Z180" s="289"/>
    </row>
    <row r="181" spans="3:26" s="63" customFormat="1" ht="12" outlineLevel="1" x14ac:dyDescent="0.2">
      <c r="C181" s="208">
        <v>6550</v>
      </c>
      <c r="D181" s="294"/>
      <c r="E181" s="301" t="s">
        <v>31</v>
      </c>
      <c r="F181" s="281"/>
      <c r="G181" s="678"/>
      <c r="H181" s="552"/>
      <c r="J181" s="622"/>
      <c r="K181" s="560"/>
      <c r="L181" s="560"/>
      <c r="M181" s="560"/>
      <c r="N181" s="560"/>
      <c r="O181" s="560"/>
      <c r="P181" s="560"/>
      <c r="Q181" s="560"/>
      <c r="R181" s="560"/>
      <c r="S181" s="560"/>
      <c r="T181" s="560"/>
      <c r="U181" s="560"/>
      <c r="V181" s="560"/>
      <c r="W181" s="552"/>
      <c r="Y181" s="289"/>
      <c r="Z181" s="289"/>
    </row>
    <row r="182" spans="3:26" s="63" customFormat="1" ht="12" outlineLevel="1" x14ac:dyDescent="0.2">
      <c r="C182" s="64"/>
      <c r="D182" s="564" t="s">
        <v>258</v>
      </c>
      <c r="E182" s="565" t="s">
        <v>521</v>
      </c>
      <c r="F182" s="566">
        <v>0</v>
      </c>
      <c r="G182" s="612">
        <v>0</v>
      </c>
      <c r="H182" s="618">
        <f>IF(J182="NO", F182*G182,SUM(J182:V182))</f>
        <v>0</v>
      </c>
      <c r="J182" s="626" t="s">
        <v>542</v>
      </c>
      <c r="K182" s="612">
        <f t="shared" ref="K182:V183" si="51">$F182*$G182/12</f>
        <v>0</v>
      </c>
      <c r="L182" s="612">
        <f t="shared" si="51"/>
        <v>0</v>
      </c>
      <c r="M182" s="612">
        <f t="shared" si="51"/>
        <v>0</v>
      </c>
      <c r="N182" s="612">
        <f t="shared" si="51"/>
        <v>0</v>
      </c>
      <c r="O182" s="612">
        <f t="shared" si="51"/>
        <v>0</v>
      </c>
      <c r="P182" s="612">
        <f t="shared" si="51"/>
        <v>0</v>
      </c>
      <c r="Q182" s="612">
        <f t="shared" si="51"/>
        <v>0</v>
      </c>
      <c r="R182" s="612">
        <f t="shared" si="51"/>
        <v>0</v>
      </c>
      <c r="S182" s="612">
        <f t="shared" si="51"/>
        <v>0</v>
      </c>
      <c r="T182" s="612">
        <f t="shared" si="51"/>
        <v>0</v>
      </c>
      <c r="U182" s="612">
        <f t="shared" si="51"/>
        <v>0</v>
      </c>
      <c r="V182" s="612">
        <f t="shared" si="51"/>
        <v>0</v>
      </c>
      <c r="W182" s="618">
        <f>SUM(K182:V182)</f>
        <v>0</v>
      </c>
      <c r="Y182" s="289"/>
      <c r="Z182" s="289"/>
    </row>
    <row r="183" spans="3:26" s="63" customFormat="1" ht="12" outlineLevel="1" x14ac:dyDescent="0.2">
      <c r="C183" s="64"/>
      <c r="D183" s="564" t="s">
        <v>258</v>
      </c>
      <c r="E183" s="565"/>
      <c r="F183" s="566">
        <v>0</v>
      </c>
      <c r="G183" s="612">
        <v>0</v>
      </c>
      <c r="H183" s="618">
        <f>IF(J183="NO", F183*G183,SUM(J183:V183))</f>
        <v>0</v>
      </c>
      <c r="J183" s="626" t="s">
        <v>542</v>
      </c>
      <c r="K183" s="612">
        <f t="shared" si="51"/>
        <v>0</v>
      </c>
      <c r="L183" s="612">
        <f t="shared" si="51"/>
        <v>0</v>
      </c>
      <c r="M183" s="612">
        <f t="shared" si="51"/>
        <v>0</v>
      </c>
      <c r="N183" s="612">
        <f t="shared" si="51"/>
        <v>0</v>
      </c>
      <c r="O183" s="612">
        <f t="shared" si="51"/>
        <v>0</v>
      </c>
      <c r="P183" s="612">
        <f t="shared" si="51"/>
        <v>0</v>
      </c>
      <c r="Q183" s="612">
        <f t="shared" si="51"/>
        <v>0</v>
      </c>
      <c r="R183" s="612">
        <f t="shared" si="51"/>
        <v>0</v>
      </c>
      <c r="S183" s="612">
        <f t="shared" si="51"/>
        <v>0</v>
      </c>
      <c r="T183" s="612">
        <f t="shared" si="51"/>
        <v>0</v>
      </c>
      <c r="U183" s="612">
        <f t="shared" si="51"/>
        <v>0</v>
      </c>
      <c r="V183" s="612">
        <f t="shared" si="51"/>
        <v>0</v>
      </c>
      <c r="W183" s="618">
        <f>SUM(K183:V183)</f>
        <v>0</v>
      </c>
      <c r="Y183" s="289"/>
      <c r="Z183" s="289"/>
    </row>
    <row r="184" spans="3:26" s="63" customFormat="1" ht="3.6" customHeight="1" outlineLevel="1" thickBot="1" x14ac:dyDescent="0.25">
      <c r="C184" s="64"/>
      <c r="D184" s="296"/>
      <c r="E184" s="302"/>
      <c r="F184" s="283"/>
      <c r="G184" s="619"/>
      <c r="H184" s="555"/>
      <c r="J184" s="627"/>
      <c r="K184" s="562"/>
      <c r="L184" s="562"/>
      <c r="M184" s="562"/>
      <c r="N184" s="562"/>
      <c r="O184" s="562"/>
      <c r="P184" s="562"/>
      <c r="Q184" s="562"/>
      <c r="R184" s="562"/>
      <c r="S184" s="562"/>
      <c r="T184" s="562"/>
      <c r="U184" s="562"/>
      <c r="V184" s="562"/>
      <c r="W184" s="555"/>
      <c r="Y184" s="289"/>
      <c r="Z184" s="289"/>
    </row>
    <row r="185" spans="3:26" s="63" customFormat="1" ht="12.75" thickBot="1" x14ac:dyDescent="0.25">
      <c r="C185" s="64"/>
      <c r="D185" s="294"/>
      <c r="E185" s="301"/>
      <c r="F185" s="284" t="str">
        <f>E181</f>
        <v>Printing and Binding</v>
      </c>
      <c r="G185" s="679">
        <f>C181</f>
        <v>6550</v>
      </c>
      <c r="H185" s="556">
        <f>SUBTOTAL(9,H182:H184)</f>
        <v>0</v>
      </c>
      <c r="J185" s="629"/>
      <c r="K185" s="623">
        <f t="shared" ref="K185:W185" si="52">SUBTOTAL(9,K182:K184)</f>
        <v>0</v>
      </c>
      <c r="L185" s="623">
        <f t="shared" si="52"/>
        <v>0</v>
      </c>
      <c r="M185" s="623">
        <f t="shared" si="52"/>
        <v>0</v>
      </c>
      <c r="N185" s="623">
        <f t="shared" si="52"/>
        <v>0</v>
      </c>
      <c r="O185" s="623">
        <f t="shared" si="52"/>
        <v>0</v>
      </c>
      <c r="P185" s="623">
        <f t="shared" si="52"/>
        <v>0</v>
      </c>
      <c r="Q185" s="623">
        <f t="shared" si="52"/>
        <v>0</v>
      </c>
      <c r="R185" s="623">
        <f t="shared" si="52"/>
        <v>0</v>
      </c>
      <c r="S185" s="623">
        <f t="shared" si="52"/>
        <v>0</v>
      </c>
      <c r="T185" s="623">
        <f t="shared" si="52"/>
        <v>0</v>
      </c>
      <c r="U185" s="623">
        <f t="shared" si="52"/>
        <v>0</v>
      </c>
      <c r="V185" s="623">
        <f t="shared" si="52"/>
        <v>0</v>
      </c>
      <c r="W185" s="556">
        <f t="shared" si="52"/>
        <v>0</v>
      </c>
      <c r="X185" s="63" t="str">
        <f>IF(H185=W185,"OK","Error")</f>
        <v>OK</v>
      </c>
      <c r="Y185" s="289">
        <v>0</v>
      </c>
      <c r="Z185" s="289">
        <f>H185-Y185</f>
        <v>0</v>
      </c>
    </row>
    <row r="186" spans="3:26" s="63" customFormat="1" ht="12" outlineLevel="1" x14ac:dyDescent="0.2">
      <c r="C186" s="64"/>
      <c r="D186" s="294"/>
      <c r="E186" s="301"/>
      <c r="F186" s="281"/>
      <c r="G186" s="678"/>
      <c r="H186" s="552"/>
      <c r="J186" s="622"/>
      <c r="K186" s="560"/>
      <c r="L186" s="560"/>
      <c r="M186" s="560"/>
      <c r="N186" s="560"/>
      <c r="O186" s="560"/>
      <c r="P186" s="560"/>
      <c r="Q186" s="560"/>
      <c r="R186" s="560"/>
      <c r="S186" s="560"/>
      <c r="T186" s="560"/>
      <c r="U186" s="560"/>
      <c r="V186" s="560"/>
      <c r="W186" s="552"/>
      <c r="Y186" s="289"/>
      <c r="Z186" s="289"/>
    </row>
    <row r="187" spans="3:26" s="63" customFormat="1" ht="12" outlineLevel="1" x14ac:dyDescent="0.2">
      <c r="C187" s="64">
        <v>6568</v>
      </c>
      <c r="D187" s="294"/>
      <c r="E187" s="301" t="s">
        <v>326</v>
      </c>
      <c r="F187" s="281"/>
      <c r="G187" s="678"/>
      <c r="H187" s="552"/>
      <c r="J187" s="622"/>
      <c r="K187" s="560"/>
      <c r="L187" s="560"/>
      <c r="M187" s="560"/>
      <c r="N187" s="560"/>
      <c r="O187" s="560"/>
      <c r="P187" s="560"/>
      <c r="Q187" s="560"/>
      <c r="R187" s="560"/>
      <c r="S187" s="560"/>
      <c r="T187" s="560"/>
      <c r="U187" s="560"/>
      <c r="V187" s="560"/>
      <c r="W187" s="552"/>
      <c r="Y187" s="289"/>
      <c r="Z187" s="289"/>
    </row>
    <row r="188" spans="3:26" s="63" customFormat="1" ht="12" outlineLevel="1" x14ac:dyDescent="0.2">
      <c r="C188" s="64"/>
      <c r="D188" s="635" t="s">
        <v>258</v>
      </c>
      <c r="E188" s="636"/>
      <c r="F188" s="597">
        <v>0</v>
      </c>
      <c r="G188" s="614"/>
      <c r="H188" s="637">
        <f>IF(J188="NO", F188*G188,SUM(J188:V188))</f>
        <v>0</v>
      </c>
      <c r="I188" s="638"/>
      <c r="J188" s="631" t="s">
        <v>542</v>
      </c>
      <c r="K188" s="614">
        <f t="shared" ref="K188:V191" si="53">$F188*$G188/12</f>
        <v>0</v>
      </c>
      <c r="L188" s="614">
        <f t="shared" si="53"/>
        <v>0</v>
      </c>
      <c r="M188" s="614">
        <f t="shared" si="53"/>
        <v>0</v>
      </c>
      <c r="N188" s="614">
        <f t="shared" si="53"/>
        <v>0</v>
      </c>
      <c r="O188" s="614">
        <f t="shared" si="53"/>
        <v>0</v>
      </c>
      <c r="P188" s="614">
        <f t="shared" si="53"/>
        <v>0</v>
      </c>
      <c r="Q188" s="614">
        <f t="shared" si="53"/>
        <v>0</v>
      </c>
      <c r="R188" s="614">
        <f t="shared" si="53"/>
        <v>0</v>
      </c>
      <c r="S188" s="614">
        <f t="shared" si="53"/>
        <v>0</v>
      </c>
      <c r="T188" s="614">
        <f t="shared" si="53"/>
        <v>0</v>
      </c>
      <c r="U188" s="614">
        <f t="shared" si="53"/>
        <v>0</v>
      </c>
      <c r="V188" s="614">
        <f t="shared" si="53"/>
        <v>0</v>
      </c>
      <c r="W188" s="637">
        <f>SUM(K188:V188)</f>
        <v>0</v>
      </c>
      <c r="Y188" s="289"/>
      <c r="Z188" s="289"/>
    </row>
    <row r="189" spans="3:26" s="63" customFormat="1" ht="12" outlineLevel="1" x14ac:dyDescent="0.2">
      <c r="C189" s="64"/>
      <c r="D189" s="635" t="s">
        <v>258</v>
      </c>
      <c r="E189" s="636"/>
      <c r="F189" s="597">
        <v>0</v>
      </c>
      <c r="G189" s="614"/>
      <c r="H189" s="637">
        <f>IF(J189="NO", F189*G189,SUM(J189:V189))</f>
        <v>0</v>
      </c>
      <c r="I189" s="638"/>
      <c r="J189" s="631" t="s">
        <v>542</v>
      </c>
      <c r="K189" s="614">
        <f t="shared" si="53"/>
        <v>0</v>
      </c>
      <c r="L189" s="614">
        <f t="shared" si="53"/>
        <v>0</v>
      </c>
      <c r="M189" s="614">
        <f t="shared" si="53"/>
        <v>0</v>
      </c>
      <c r="N189" s="614">
        <f t="shared" si="53"/>
        <v>0</v>
      </c>
      <c r="O189" s="614">
        <f t="shared" si="53"/>
        <v>0</v>
      </c>
      <c r="P189" s="614">
        <f t="shared" si="53"/>
        <v>0</v>
      </c>
      <c r="Q189" s="614">
        <f t="shared" si="53"/>
        <v>0</v>
      </c>
      <c r="R189" s="614">
        <f t="shared" si="53"/>
        <v>0</v>
      </c>
      <c r="S189" s="614">
        <f t="shared" si="53"/>
        <v>0</v>
      </c>
      <c r="T189" s="614">
        <f t="shared" si="53"/>
        <v>0</v>
      </c>
      <c r="U189" s="614">
        <f t="shared" si="53"/>
        <v>0</v>
      </c>
      <c r="V189" s="614">
        <f t="shared" si="53"/>
        <v>0</v>
      </c>
      <c r="W189" s="637">
        <f>SUM(K189:V189)</f>
        <v>0</v>
      </c>
      <c r="Y189" s="289"/>
      <c r="Z189" s="289"/>
    </row>
    <row r="190" spans="3:26" s="63" customFormat="1" ht="12" outlineLevel="1" x14ac:dyDescent="0.2">
      <c r="C190" s="64"/>
      <c r="D190" s="635" t="s">
        <v>258</v>
      </c>
      <c r="E190" s="636"/>
      <c r="F190" s="597">
        <v>0</v>
      </c>
      <c r="G190" s="614"/>
      <c r="H190" s="637">
        <f>IF(J190="NO", F190*G190,SUM(J190:V190))</f>
        <v>0</v>
      </c>
      <c r="I190" s="638"/>
      <c r="J190" s="631" t="s">
        <v>542</v>
      </c>
      <c r="K190" s="614">
        <f t="shared" si="53"/>
        <v>0</v>
      </c>
      <c r="L190" s="614">
        <f t="shared" si="53"/>
        <v>0</v>
      </c>
      <c r="M190" s="614">
        <f t="shared" si="53"/>
        <v>0</v>
      </c>
      <c r="N190" s="614">
        <f t="shared" si="53"/>
        <v>0</v>
      </c>
      <c r="O190" s="614">
        <f t="shared" si="53"/>
        <v>0</v>
      </c>
      <c r="P190" s="614">
        <f t="shared" si="53"/>
        <v>0</v>
      </c>
      <c r="Q190" s="614">
        <f t="shared" si="53"/>
        <v>0</v>
      </c>
      <c r="R190" s="614">
        <f t="shared" si="53"/>
        <v>0</v>
      </c>
      <c r="S190" s="614">
        <f t="shared" si="53"/>
        <v>0</v>
      </c>
      <c r="T190" s="614">
        <f t="shared" si="53"/>
        <v>0</v>
      </c>
      <c r="U190" s="614">
        <f t="shared" si="53"/>
        <v>0</v>
      </c>
      <c r="V190" s="614">
        <f t="shared" si="53"/>
        <v>0</v>
      </c>
      <c r="W190" s="637">
        <f>SUM(K190:V190)</f>
        <v>0</v>
      </c>
      <c r="Y190" s="289"/>
      <c r="Z190" s="289"/>
    </row>
    <row r="191" spans="3:26" s="63" customFormat="1" ht="12" outlineLevel="1" x14ac:dyDescent="0.2">
      <c r="C191" s="64"/>
      <c r="D191" s="635" t="s">
        <v>258</v>
      </c>
      <c r="E191" s="636"/>
      <c r="F191" s="597">
        <v>0</v>
      </c>
      <c r="G191" s="614"/>
      <c r="H191" s="637">
        <f>IF(J191="NO", F191*G191,SUM(J191:V191))</f>
        <v>0</v>
      </c>
      <c r="I191" s="638"/>
      <c r="J191" s="631" t="s">
        <v>542</v>
      </c>
      <c r="K191" s="614">
        <f t="shared" si="53"/>
        <v>0</v>
      </c>
      <c r="L191" s="614">
        <f t="shared" si="53"/>
        <v>0</v>
      </c>
      <c r="M191" s="614">
        <f t="shared" si="53"/>
        <v>0</v>
      </c>
      <c r="N191" s="614">
        <f t="shared" si="53"/>
        <v>0</v>
      </c>
      <c r="O191" s="614">
        <f t="shared" si="53"/>
        <v>0</v>
      </c>
      <c r="P191" s="614">
        <f t="shared" si="53"/>
        <v>0</v>
      </c>
      <c r="Q191" s="614">
        <f t="shared" si="53"/>
        <v>0</v>
      </c>
      <c r="R191" s="614">
        <f t="shared" si="53"/>
        <v>0</v>
      </c>
      <c r="S191" s="614">
        <f t="shared" si="53"/>
        <v>0</v>
      </c>
      <c r="T191" s="614">
        <f t="shared" si="53"/>
        <v>0</v>
      </c>
      <c r="U191" s="614">
        <f t="shared" si="53"/>
        <v>0</v>
      </c>
      <c r="V191" s="614">
        <f t="shared" si="53"/>
        <v>0</v>
      </c>
      <c r="W191" s="637">
        <f>SUM(K191:V191)</f>
        <v>0</v>
      </c>
      <c r="Y191" s="289"/>
      <c r="Z191" s="289"/>
    </row>
    <row r="192" spans="3:26" s="63" customFormat="1" ht="3.6" customHeight="1" outlineLevel="1" thickBot="1" x14ac:dyDescent="0.25">
      <c r="C192" s="64"/>
      <c r="D192" s="296"/>
      <c r="E192" s="302"/>
      <c r="F192" s="283"/>
      <c r="G192" s="619"/>
      <c r="H192" s="555"/>
      <c r="J192" s="627"/>
      <c r="K192" s="562"/>
      <c r="L192" s="562"/>
      <c r="M192" s="562"/>
      <c r="N192" s="562"/>
      <c r="O192" s="562"/>
      <c r="P192" s="562"/>
      <c r="Q192" s="562"/>
      <c r="R192" s="562"/>
      <c r="S192" s="562"/>
      <c r="T192" s="562"/>
      <c r="U192" s="562"/>
      <c r="V192" s="562"/>
      <c r="W192" s="555"/>
      <c r="Y192" s="289"/>
      <c r="Z192" s="289"/>
    </row>
    <row r="193" spans="3:26" s="63" customFormat="1" ht="12.75" thickBot="1" x14ac:dyDescent="0.25">
      <c r="C193" s="64"/>
      <c r="D193" s="294"/>
      <c r="E193" s="301"/>
      <c r="F193" s="284" t="str">
        <f>E187</f>
        <v>Tuition-Other (Grant ONLY)</v>
      </c>
      <c r="G193" s="679">
        <f>C187</f>
        <v>6568</v>
      </c>
      <c r="H193" s="556">
        <f>SUBTOTAL(9,H188:H192)</f>
        <v>0</v>
      </c>
      <c r="J193" s="629"/>
      <c r="K193" s="623">
        <f t="shared" ref="K193:W193" si="54">SUBTOTAL(9,K188:K192)</f>
        <v>0</v>
      </c>
      <c r="L193" s="623">
        <f t="shared" si="54"/>
        <v>0</v>
      </c>
      <c r="M193" s="623">
        <f t="shared" si="54"/>
        <v>0</v>
      </c>
      <c r="N193" s="623">
        <f t="shared" si="54"/>
        <v>0</v>
      </c>
      <c r="O193" s="623">
        <f t="shared" si="54"/>
        <v>0</v>
      </c>
      <c r="P193" s="623">
        <f t="shared" si="54"/>
        <v>0</v>
      </c>
      <c r="Q193" s="623">
        <f t="shared" si="54"/>
        <v>0</v>
      </c>
      <c r="R193" s="623">
        <f t="shared" si="54"/>
        <v>0</v>
      </c>
      <c r="S193" s="623">
        <f t="shared" si="54"/>
        <v>0</v>
      </c>
      <c r="T193" s="623">
        <f t="shared" si="54"/>
        <v>0</v>
      </c>
      <c r="U193" s="623">
        <f t="shared" si="54"/>
        <v>0</v>
      </c>
      <c r="V193" s="623">
        <f t="shared" si="54"/>
        <v>0</v>
      </c>
      <c r="W193" s="556">
        <f t="shared" si="54"/>
        <v>0</v>
      </c>
      <c r="X193" s="63" t="str">
        <f>IF(H193=W193,"OK","Error")</f>
        <v>OK</v>
      </c>
      <c r="Y193" s="289">
        <v>0</v>
      </c>
      <c r="Z193" s="289">
        <f>H193-Y193</f>
        <v>0</v>
      </c>
    </row>
    <row r="194" spans="3:26" s="63" customFormat="1" ht="12" outlineLevel="1" x14ac:dyDescent="0.2">
      <c r="C194" s="64"/>
      <c r="D194" s="294"/>
      <c r="E194" s="301"/>
      <c r="F194" s="281"/>
      <c r="G194" s="678"/>
      <c r="H194" s="552"/>
      <c r="J194" s="622"/>
      <c r="K194" s="560"/>
      <c r="L194" s="560"/>
      <c r="M194" s="560"/>
      <c r="N194" s="560"/>
      <c r="O194" s="560"/>
      <c r="P194" s="560"/>
      <c r="Q194" s="560"/>
      <c r="R194" s="560"/>
      <c r="S194" s="560"/>
      <c r="T194" s="560"/>
      <c r="U194" s="560"/>
      <c r="V194" s="560"/>
      <c r="W194" s="552"/>
      <c r="Y194" s="289"/>
      <c r="Z194" s="289"/>
    </row>
    <row r="195" spans="3:26" s="63" customFormat="1" ht="12" outlineLevel="1" x14ac:dyDescent="0.2">
      <c r="C195" s="208">
        <v>6569</v>
      </c>
      <c r="D195" s="294"/>
      <c r="E195" s="301" t="s">
        <v>32</v>
      </c>
      <c r="F195" s="281"/>
      <c r="G195" s="678"/>
      <c r="H195" s="552"/>
      <c r="J195" s="622"/>
      <c r="K195" s="560"/>
      <c r="L195" s="560"/>
      <c r="M195" s="560"/>
      <c r="N195" s="560"/>
      <c r="O195" s="560"/>
      <c r="P195" s="560"/>
      <c r="Q195" s="560"/>
      <c r="R195" s="560"/>
      <c r="S195" s="560"/>
      <c r="T195" s="560"/>
      <c r="U195" s="560"/>
      <c r="V195" s="560"/>
      <c r="W195" s="552"/>
      <c r="Y195" s="289"/>
      <c r="Z195" s="289"/>
    </row>
    <row r="196" spans="3:26" s="63" customFormat="1" ht="12" outlineLevel="1" x14ac:dyDescent="0.2">
      <c r="C196" s="64"/>
      <c r="D196" s="567" t="s">
        <v>259</v>
      </c>
      <c r="E196" s="568" t="s">
        <v>616</v>
      </c>
      <c r="F196" s="576">
        <f>AVERAGE('Rev &amp; Enroll'!Q24:V24)-F199</f>
        <v>270</v>
      </c>
      <c r="G196" s="613">
        <v>950</v>
      </c>
      <c r="H196" s="618">
        <f t="shared" ref="H196:H202" si="55">IF(J196="NO", F196*G196,SUM(J196:V196))</f>
        <v>256500</v>
      </c>
      <c r="J196" s="630" t="s">
        <v>543</v>
      </c>
      <c r="K196" s="611">
        <v>0</v>
      </c>
      <c r="L196" s="611">
        <v>0</v>
      </c>
      <c r="M196" s="611">
        <v>0</v>
      </c>
      <c r="N196" s="611">
        <f>F196*G196/2</f>
        <v>128250</v>
      </c>
      <c r="O196" s="611">
        <f>F196*G196/2</f>
        <v>128250</v>
      </c>
      <c r="P196" s="611">
        <v>0</v>
      </c>
      <c r="Q196" s="611">
        <v>0</v>
      </c>
      <c r="R196" s="611">
        <v>0</v>
      </c>
      <c r="S196" s="611">
        <v>0</v>
      </c>
      <c r="T196" s="611">
        <v>0</v>
      </c>
      <c r="U196" s="611">
        <v>0</v>
      </c>
      <c r="V196" s="611">
        <v>0</v>
      </c>
      <c r="W196" s="618">
        <f t="shared" ref="W196:W202" si="56">SUM(K196:V196)</f>
        <v>256500</v>
      </c>
      <c r="Y196" s="289"/>
      <c r="Z196" s="289"/>
    </row>
    <row r="197" spans="3:26" s="63" customFormat="1" ht="12" outlineLevel="1" x14ac:dyDescent="0.2">
      <c r="C197" s="64"/>
      <c r="D197" s="567" t="s">
        <v>259</v>
      </c>
      <c r="E197" s="568" t="s">
        <v>619</v>
      </c>
      <c r="F197" s="576">
        <f>AVERAGE('Rev &amp; Enroll'!W24:AB24)-F200</f>
        <v>270</v>
      </c>
      <c r="G197" s="613">
        <v>1100</v>
      </c>
      <c r="H197" s="618">
        <f t="shared" si="55"/>
        <v>297000</v>
      </c>
      <c r="J197" s="630" t="s">
        <v>543</v>
      </c>
      <c r="K197" s="611">
        <v>0</v>
      </c>
      <c r="L197" s="611">
        <v>0</v>
      </c>
      <c r="M197" s="611">
        <v>0</v>
      </c>
      <c r="N197" s="611">
        <v>0</v>
      </c>
      <c r="O197" s="611">
        <v>0</v>
      </c>
      <c r="P197" s="611">
        <v>0</v>
      </c>
      <c r="Q197" s="611">
        <v>0</v>
      </c>
      <c r="R197" s="611">
        <v>0</v>
      </c>
      <c r="S197" s="611">
        <f>F197*G197/2</f>
        <v>148500</v>
      </c>
      <c r="T197" s="611">
        <f>F197*G197/2</f>
        <v>148500</v>
      </c>
      <c r="U197" s="611">
        <v>0</v>
      </c>
      <c r="V197" s="611">
        <v>0</v>
      </c>
      <c r="W197" s="618">
        <f t="shared" si="56"/>
        <v>297000</v>
      </c>
      <c r="Y197" s="289"/>
      <c r="Z197" s="289"/>
    </row>
    <row r="198" spans="3:26" s="63" customFormat="1" ht="12" outlineLevel="1" x14ac:dyDescent="0.2">
      <c r="C198" s="64"/>
      <c r="D198" s="567" t="s">
        <v>259</v>
      </c>
      <c r="E198" s="568" t="s">
        <v>574</v>
      </c>
      <c r="F198" s="576">
        <v>2</v>
      </c>
      <c r="G198" s="613">
        <v>3000</v>
      </c>
      <c r="H198" s="618">
        <f t="shared" si="55"/>
        <v>6000</v>
      </c>
      <c r="J198" s="630" t="s">
        <v>543</v>
      </c>
      <c r="K198" s="611">
        <v>0</v>
      </c>
      <c r="L198" s="611">
        <v>0</v>
      </c>
      <c r="M198" s="611">
        <v>0</v>
      </c>
      <c r="N198" s="611">
        <v>3000</v>
      </c>
      <c r="O198" s="611">
        <v>0</v>
      </c>
      <c r="P198" s="611">
        <v>0</v>
      </c>
      <c r="Q198" s="611">
        <v>0</v>
      </c>
      <c r="R198" s="611">
        <v>0</v>
      </c>
      <c r="S198" s="611">
        <v>3000</v>
      </c>
      <c r="T198" s="611">
        <v>0</v>
      </c>
      <c r="U198" s="611">
        <v>0</v>
      </c>
      <c r="V198" s="611">
        <v>0</v>
      </c>
      <c r="W198" s="618">
        <f t="shared" si="56"/>
        <v>6000</v>
      </c>
      <c r="Y198" s="289"/>
      <c r="Z198" s="289"/>
    </row>
    <row r="199" spans="3:26" s="63" customFormat="1" ht="12" outlineLevel="1" x14ac:dyDescent="0.2">
      <c r="C199" s="64"/>
      <c r="D199" s="598" t="s">
        <v>280</v>
      </c>
      <c r="E199" s="568" t="s">
        <v>629</v>
      </c>
      <c r="F199" s="576">
        <f>'Rev &amp; Enroll'!F30</f>
        <v>0</v>
      </c>
      <c r="G199" s="613">
        <v>950</v>
      </c>
      <c r="H199" s="618">
        <f t="shared" si="55"/>
        <v>0</v>
      </c>
      <c r="J199" s="630" t="s">
        <v>542</v>
      </c>
      <c r="K199" s="611">
        <v>0</v>
      </c>
      <c r="L199" s="611">
        <v>0</v>
      </c>
      <c r="M199" s="611">
        <v>0</v>
      </c>
      <c r="N199" s="611">
        <v>0</v>
      </c>
      <c r="O199" s="682">
        <f>F199*G199</f>
        <v>0</v>
      </c>
      <c r="P199" s="611">
        <v>0</v>
      </c>
      <c r="Q199" s="611">
        <v>0</v>
      </c>
      <c r="R199" s="611">
        <v>0</v>
      </c>
      <c r="S199" s="611">
        <v>0</v>
      </c>
      <c r="T199" s="611">
        <v>0</v>
      </c>
      <c r="U199" s="611">
        <v>0</v>
      </c>
      <c r="V199" s="611">
        <v>0</v>
      </c>
      <c r="W199" s="618">
        <f t="shared" si="56"/>
        <v>0</v>
      </c>
      <c r="Y199" s="289"/>
      <c r="Z199" s="289"/>
    </row>
    <row r="200" spans="3:26" s="63" customFormat="1" ht="12" outlineLevel="1" x14ac:dyDescent="0.2">
      <c r="C200" s="64"/>
      <c r="D200" s="598" t="s">
        <v>280</v>
      </c>
      <c r="E200" s="568" t="s">
        <v>628</v>
      </c>
      <c r="F200" s="576">
        <f>'Rev &amp; Enroll'!F30</f>
        <v>0</v>
      </c>
      <c r="G200" s="613">
        <v>1600</v>
      </c>
      <c r="H200" s="618">
        <f t="shared" si="55"/>
        <v>0</v>
      </c>
      <c r="J200" s="630" t="s">
        <v>542</v>
      </c>
      <c r="K200" s="611">
        <v>0</v>
      </c>
      <c r="L200" s="611">
        <v>0</v>
      </c>
      <c r="M200" s="611">
        <v>0</v>
      </c>
      <c r="N200" s="611">
        <v>0</v>
      </c>
      <c r="O200" s="611">
        <v>0</v>
      </c>
      <c r="P200" s="611">
        <v>0</v>
      </c>
      <c r="Q200" s="611">
        <v>0</v>
      </c>
      <c r="R200" s="611">
        <v>0</v>
      </c>
      <c r="S200" s="611">
        <v>0</v>
      </c>
      <c r="T200" s="682">
        <f>F200*G200</f>
        <v>0</v>
      </c>
      <c r="U200" s="611">
        <v>0</v>
      </c>
      <c r="V200" s="611">
        <v>0</v>
      </c>
      <c r="W200" s="618">
        <f t="shared" si="56"/>
        <v>0</v>
      </c>
      <c r="Y200" s="289"/>
      <c r="Z200" s="289"/>
    </row>
    <row r="201" spans="3:26" s="63" customFormat="1" ht="12" outlineLevel="1" x14ac:dyDescent="0.2">
      <c r="C201" s="64"/>
      <c r="D201" s="567" t="s">
        <v>259</v>
      </c>
      <c r="E201" s="568" t="s">
        <v>572</v>
      </c>
      <c r="F201" s="576">
        <v>2</v>
      </c>
      <c r="G201" s="613">
        <v>-20000</v>
      </c>
      <c r="H201" s="618">
        <f t="shared" si="55"/>
        <v>-40000</v>
      </c>
      <c r="J201" s="630" t="s">
        <v>543</v>
      </c>
      <c r="K201" s="611">
        <v>0</v>
      </c>
      <c r="L201" s="611">
        <v>0</v>
      </c>
      <c r="M201" s="611">
        <v>0</v>
      </c>
      <c r="N201" s="611">
        <v>0</v>
      </c>
      <c r="O201" s="611">
        <v>-10000</v>
      </c>
      <c r="P201" s="611">
        <v>-10000</v>
      </c>
      <c r="Q201" s="611">
        <v>0</v>
      </c>
      <c r="R201" s="611">
        <v>0</v>
      </c>
      <c r="S201" s="611">
        <v>0</v>
      </c>
      <c r="T201" s="611">
        <v>-10000</v>
      </c>
      <c r="U201" s="611">
        <v>-10000</v>
      </c>
      <c r="V201" s="611">
        <v>0</v>
      </c>
      <c r="W201" s="618">
        <f t="shared" si="56"/>
        <v>-40000</v>
      </c>
      <c r="Y201" s="289"/>
      <c r="Z201" s="289"/>
    </row>
    <row r="202" spans="3:26" s="63" customFormat="1" ht="12" outlineLevel="1" x14ac:dyDescent="0.2">
      <c r="C202" s="64"/>
      <c r="D202" s="635" t="s">
        <v>258</v>
      </c>
      <c r="E202" s="636"/>
      <c r="F202" s="597">
        <v>0</v>
      </c>
      <c r="G202" s="614"/>
      <c r="H202" s="637">
        <f t="shared" si="55"/>
        <v>0</v>
      </c>
      <c r="I202" s="638"/>
      <c r="J202" s="631" t="s">
        <v>542</v>
      </c>
      <c r="K202" s="614">
        <f t="shared" ref="K202:V202" si="57">$F202*$G202/12</f>
        <v>0</v>
      </c>
      <c r="L202" s="614">
        <f t="shared" si="57"/>
        <v>0</v>
      </c>
      <c r="M202" s="614">
        <f t="shared" si="57"/>
        <v>0</v>
      </c>
      <c r="N202" s="614">
        <f t="shared" si="57"/>
        <v>0</v>
      </c>
      <c r="O202" s="614">
        <f t="shared" si="57"/>
        <v>0</v>
      </c>
      <c r="P202" s="614">
        <f t="shared" si="57"/>
        <v>0</v>
      </c>
      <c r="Q202" s="614">
        <f t="shared" si="57"/>
        <v>0</v>
      </c>
      <c r="R202" s="614">
        <f t="shared" si="57"/>
        <v>0</v>
      </c>
      <c r="S202" s="614">
        <f t="shared" si="57"/>
        <v>0</v>
      </c>
      <c r="T202" s="614">
        <f t="shared" si="57"/>
        <v>0</v>
      </c>
      <c r="U202" s="614">
        <f t="shared" si="57"/>
        <v>0</v>
      </c>
      <c r="V202" s="614">
        <f t="shared" si="57"/>
        <v>0</v>
      </c>
      <c r="W202" s="637">
        <f t="shared" si="56"/>
        <v>0</v>
      </c>
      <c r="Y202" s="289"/>
      <c r="Z202" s="289"/>
    </row>
    <row r="203" spans="3:26" s="63" customFormat="1" ht="3.6" customHeight="1" outlineLevel="1" thickBot="1" x14ac:dyDescent="0.25">
      <c r="C203" s="64"/>
      <c r="D203" s="296"/>
      <c r="E203" s="302"/>
      <c r="F203" s="283"/>
      <c r="G203" s="619"/>
      <c r="H203" s="555"/>
      <c r="J203" s="627"/>
      <c r="K203" s="562"/>
      <c r="L203" s="562"/>
      <c r="M203" s="562"/>
      <c r="N203" s="562"/>
      <c r="O203" s="562"/>
      <c r="P203" s="562"/>
      <c r="Q203" s="562"/>
      <c r="R203" s="562"/>
      <c r="S203" s="562"/>
      <c r="T203" s="562"/>
      <c r="U203" s="562"/>
      <c r="V203" s="562"/>
      <c r="W203" s="555"/>
      <c r="Y203" s="289"/>
      <c r="Z203" s="289"/>
    </row>
    <row r="204" spans="3:26" s="63" customFormat="1" ht="12.75" thickBot="1" x14ac:dyDescent="0.25">
      <c r="C204" s="64"/>
      <c r="D204" s="294"/>
      <c r="E204" s="301"/>
      <c r="F204" s="284" t="str">
        <f>E195</f>
        <v>Tuition-Other</v>
      </c>
      <c r="G204" s="679">
        <f>C195</f>
        <v>6569</v>
      </c>
      <c r="H204" s="556">
        <f>SUBTOTAL(9,H196:H203)</f>
        <v>519500</v>
      </c>
      <c r="J204" s="629"/>
      <c r="K204" s="623">
        <f t="shared" ref="K204:W204" si="58">SUBTOTAL(9,K196:K203)</f>
        <v>0</v>
      </c>
      <c r="L204" s="623">
        <f t="shared" si="58"/>
        <v>0</v>
      </c>
      <c r="M204" s="623">
        <f t="shared" si="58"/>
        <v>0</v>
      </c>
      <c r="N204" s="623">
        <f t="shared" si="58"/>
        <v>131250</v>
      </c>
      <c r="O204" s="623">
        <f t="shared" si="58"/>
        <v>118250</v>
      </c>
      <c r="P204" s="623">
        <f t="shared" si="58"/>
        <v>-10000</v>
      </c>
      <c r="Q204" s="623">
        <f t="shared" si="58"/>
        <v>0</v>
      </c>
      <c r="R204" s="645">
        <f t="shared" si="58"/>
        <v>0</v>
      </c>
      <c r="S204" s="623">
        <f t="shared" si="58"/>
        <v>151500</v>
      </c>
      <c r="T204" s="623">
        <f t="shared" si="58"/>
        <v>138500</v>
      </c>
      <c r="U204" s="623">
        <f t="shared" si="58"/>
        <v>-10000</v>
      </c>
      <c r="V204" s="623">
        <f t="shared" si="58"/>
        <v>0</v>
      </c>
      <c r="W204" s="556">
        <f t="shared" si="58"/>
        <v>519500</v>
      </c>
      <c r="X204" s="63" t="str">
        <f>IF(H204=W204,"OK","Error")</f>
        <v>OK</v>
      </c>
      <c r="Y204" s="289">
        <v>0</v>
      </c>
      <c r="Z204" s="289">
        <f>H204-Y204</f>
        <v>519500</v>
      </c>
    </row>
    <row r="205" spans="3:26" s="63" customFormat="1" ht="12" outlineLevel="1" x14ac:dyDescent="0.2">
      <c r="C205" s="64"/>
      <c r="D205" s="294"/>
      <c r="E205" s="301"/>
      <c r="F205" s="281"/>
      <c r="G205" s="678"/>
      <c r="H205" s="552"/>
      <c r="J205" s="622"/>
      <c r="K205" s="560"/>
      <c r="L205" s="560"/>
      <c r="M205" s="560"/>
      <c r="N205" s="560"/>
      <c r="O205" s="560"/>
      <c r="P205" s="560"/>
      <c r="Q205" s="560"/>
      <c r="R205" s="560"/>
      <c r="S205" s="560"/>
      <c r="T205" s="560"/>
      <c r="U205" s="560"/>
      <c r="V205" s="560"/>
      <c r="W205" s="552"/>
      <c r="Y205" s="289"/>
      <c r="Z205" s="289"/>
    </row>
    <row r="206" spans="3:26" s="63" customFormat="1" ht="12" outlineLevel="1" x14ac:dyDescent="0.2">
      <c r="C206" s="208">
        <v>6580</v>
      </c>
      <c r="D206" s="294"/>
      <c r="E206" s="301" t="s">
        <v>33</v>
      </c>
      <c r="F206" s="281"/>
      <c r="G206" s="678"/>
      <c r="H206" s="552"/>
      <c r="J206" s="622"/>
      <c r="K206" s="560"/>
      <c r="L206" s="560"/>
      <c r="M206" s="560"/>
      <c r="N206" s="560"/>
      <c r="O206" s="560"/>
      <c r="P206" s="560"/>
      <c r="Q206" s="560"/>
      <c r="R206" s="560"/>
      <c r="S206" s="560"/>
      <c r="T206" s="560"/>
      <c r="U206" s="560"/>
      <c r="V206" s="560"/>
      <c r="W206" s="552"/>
      <c r="Y206" s="289"/>
      <c r="Z206" s="289"/>
    </row>
    <row r="207" spans="3:26" s="63" customFormat="1" ht="12" outlineLevel="1" x14ac:dyDescent="0.2">
      <c r="C207" s="64"/>
      <c r="D207" s="567" t="s">
        <v>259</v>
      </c>
      <c r="E207" s="568" t="s">
        <v>533</v>
      </c>
      <c r="F207" s="566">
        <v>0</v>
      </c>
      <c r="G207" s="612">
        <v>0</v>
      </c>
      <c r="H207" s="618">
        <f>IF(J207="NO", F207*G207,SUM(J207:V207))</f>
        <v>0</v>
      </c>
      <c r="J207" s="626" t="s">
        <v>542</v>
      </c>
      <c r="K207" s="612">
        <v>0</v>
      </c>
      <c r="L207" s="612">
        <v>0</v>
      </c>
      <c r="M207" s="612">
        <v>0</v>
      </c>
      <c r="N207" s="612">
        <v>0</v>
      </c>
      <c r="O207" s="612">
        <v>0</v>
      </c>
      <c r="P207" s="612">
        <v>0</v>
      </c>
      <c r="Q207" s="612">
        <v>0</v>
      </c>
      <c r="R207" s="612">
        <v>0</v>
      </c>
      <c r="S207" s="612">
        <v>0</v>
      </c>
      <c r="T207" s="612">
        <v>0</v>
      </c>
      <c r="U207" s="612">
        <v>0</v>
      </c>
      <c r="V207" s="612">
        <v>0</v>
      </c>
      <c r="W207" s="618">
        <f>SUM(K207:V207)</f>
        <v>0</v>
      </c>
      <c r="Y207" s="289"/>
      <c r="Z207" s="289"/>
    </row>
    <row r="208" spans="3:26" s="63" customFormat="1" ht="12" outlineLevel="1" x14ac:dyDescent="0.2">
      <c r="C208" s="64"/>
      <c r="D208" s="567" t="s">
        <v>267</v>
      </c>
      <c r="E208" s="568" t="s">
        <v>617</v>
      </c>
      <c r="F208" s="566">
        <v>0</v>
      </c>
      <c r="G208" s="612">
        <v>0</v>
      </c>
      <c r="H208" s="618">
        <f>IF(J208="NO", F208*G208,SUM(J208:V208))</f>
        <v>0</v>
      </c>
      <c r="J208" s="626" t="s">
        <v>542</v>
      </c>
      <c r="K208" s="612">
        <v>0</v>
      </c>
      <c r="L208" s="612">
        <v>0</v>
      </c>
      <c r="M208" s="612">
        <v>0</v>
      </c>
      <c r="N208" s="612">
        <v>0</v>
      </c>
      <c r="O208" s="612">
        <v>0</v>
      </c>
      <c r="P208" s="612">
        <v>0</v>
      </c>
      <c r="Q208" s="612">
        <v>0</v>
      </c>
      <c r="R208" s="612">
        <v>0</v>
      </c>
      <c r="S208" s="612">
        <v>0</v>
      </c>
      <c r="T208" s="612">
        <v>0</v>
      </c>
      <c r="U208" s="612">
        <v>0</v>
      </c>
      <c r="V208" s="612">
        <v>0</v>
      </c>
      <c r="W208" s="618">
        <f>SUM(K208:V208)</f>
        <v>0</v>
      </c>
      <c r="Y208" s="289"/>
      <c r="Z208" s="289"/>
    </row>
    <row r="209" spans="3:26" s="63" customFormat="1" ht="12" outlineLevel="1" x14ac:dyDescent="0.2">
      <c r="C209" s="64"/>
      <c r="D209" s="567" t="s">
        <v>267</v>
      </c>
      <c r="E209" s="568" t="s">
        <v>618</v>
      </c>
      <c r="F209" s="566">
        <v>0</v>
      </c>
      <c r="G209" s="612">
        <v>0</v>
      </c>
      <c r="H209" s="618">
        <f>IF(J209="NO", F209*G209,SUM(J209:V209))</f>
        <v>0</v>
      </c>
      <c r="J209" s="626" t="s">
        <v>542</v>
      </c>
      <c r="K209" s="612">
        <v>0</v>
      </c>
      <c r="L209" s="612">
        <v>0</v>
      </c>
      <c r="M209" s="612">
        <v>0</v>
      </c>
      <c r="N209" s="612">
        <v>0</v>
      </c>
      <c r="O209" s="612">
        <v>0</v>
      </c>
      <c r="P209" s="612">
        <v>0</v>
      </c>
      <c r="Q209" s="612">
        <v>0</v>
      </c>
      <c r="R209" s="612">
        <v>0</v>
      </c>
      <c r="S209" s="612">
        <v>0</v>
      </c>
      <c r="T209" s="612">
        <v>0</v>
      </c>
      <c r="U209" s="612">
        <v>0</v>
      </c>
      <c r="V209" s="612">
        <v>0</v>
      </c>
      <c r="W209" s="618">
        <f>SUM(K209:V209)</f>
        <v>0</v>
      </c>
      <c r="Y209" s="289"/>
      <c r="Z209" s="289"/>
    </row>
    <row r="210" spans="3:26" s="63" customFormat="1" ht="12" outlineLevel="1" x14ac:dyDescent="0.2">
      <c r="C210" s="64"/>
      <c r="D210" s="635" t="s">
        <v>258</v>
      </c>
      <c r="E210" s="636"/>
      <c r="F210" s="597">
        <v>0</v>
      </c>
      <c r="G210" s="614"/>
      <c r="H210" s="637">
        <f>IF(J210="NO", F210*G210,SUM(J210:V210))</f>
        <v>0</v>
      </c>
      <c r="I210" s="638"/>
      <c r="J210" s="631" t="s">
        <v>542</v>
      </c>
      <c r="K210" s="614">
        <f t="shared" ref="K210:V210" si="59">$F210*$G210/12</f>
        <v>0</v>
      </c>
      <c r="L210" s="614">
        <f t="shared" si="59"/>
        <v>0</v>
      </c>
      <c r="M210" s="614">
        <f t="shared" si="59"/>
        <v>0</v>
      </c>
      <c r="N210" s="614">
        <f t="shared" si="59"/>
        <v>0</v>
      </c>
      <c r="O210" s="614">
        <f t="shared" si="59"/>
        <v>0</v>
      </c>
      <c r="P210" s="614">
        <f t="shared" si="59"/>
        <v>0</v>
      </c>
      <c r="Q210" s="614">
        <f t="shared" si="59"/>
        <v>0</v>
      </c>
      <c r="R210" s="614">
        <f t="shared" si="59"/>
        <v>0</v>
      </c>
      <c r="S210" s="614">
        <f t="shared" si="59"/>
        <v>0</v>
      </c>
      <c r="T210" s="614">
        <f t="shared" si="59"/>
        <v>0</v>
      </c>
      <c r="U210" s="614">
        <f t="shared" si="59"/>
        <v>0</v>
      </c>
      <c r="V210" s="614">
        <f t="shared" si="59"/>
        <v>0</v>
      </c>
      <c r="W210" s="637">
        <f>SUM(K210:V210)</f>
        <v>0</v>
      </c>
      <c r="Y210" s="289"/>
      <c r="Z210" s="289"/>
    </row>
    <row r="211" spans="3:26" s="63" customFormat="1" ht="3.6" customHeight="1" outlineLevel="1" thickBot="1" x14ac:dyDescent="0.25">
      <c r="C211" s="64"/>
      <c r="D211" s="296"/>
      <c r="E211" s="302"/>
      <c r="F211" s="283"/>
      <c r="G211" s="619"/>
      <c r="H211" s="555"/>
      <c r="J211" s="627"/>
      <c r="K211" s="562"/>
      <c r="L211" s="562"/>
      <c r="M211" s="562"/>
      <c r="N211" s="562"/>
      <c r="O211" s="562"/>
      <c r="P211" s="562"/>
      <c r="Q211" s="562"/>
      <c r="R211" s="562"/>
      <c r="S211" s="562"/>
      <c r="T211" s="562"/>
      <c r="U211" s="562"/>
      <c r="V211" s="562"/>
      <c r="W211" s="555"/>
      <c r="Y211" s="289"/>
      <c r="Z211" s="289"/>
    </row>
    <row r="212" spans="3:26" s="63" customFormat="1" ht="12.75" thickBot="1" x14ac:dyDescent="0.25">
      <c r="C212" s="64"/>
      <c r="D212" s="294"/>
      <c r="E212" s="301"/>
      <c r="F212" s="284" t="str">
        <f>E206</f>
        <v>Travel</v>
      </c>
      <c r="G212" s="679">
        <f>C206</f>
        <v>6580</v>
      </c>
      <c r="H212" s="556">
        <f>SUBTOTAL(9,H207:H211)</f>
        <v>0</v>
      </c>
      <c r="J212" s="629"/>
      <c r="K212" s="623">
        <f>SUBTOTAL(9,K208:K211)</f>
        <v>0</v>
      </c>
      <c r="L212" s="623">
        <f t="shared" ref="L212:W212" si="60">SUBTOTAL(9,L207:L211)</f>
        <v>0</v>
      </c>
      <c r="M212" s="623">
        <f t="shared" si="60"/>
        <v>0</v>
      </c>
      <c r="N212" s="623">
        <f t="shared" si="60"/>
        <v>0</v>
      </c>
      <c r="O212" s="623">
        <f t="shared" si="60"/>
        <v>0</v>
      </c>
      <c r="P212" s="623">
        <f t="shared" si="60"/>
        <v>0</v>
      </c>
      <c r="Q212" s="623">
        <f t="shared" si="60"/>
        <v>0</v>
      </c>
      <c r="R212" s="623">
        <f t="shared" si="60"/>
        <v>0</v>
      </c>
      <c r="S212" s="623">
        <f t="shared" si="60"/>
        <v>0</v>
      </c>
      <c r="T212" s="623">
        <f t="shared" si="60"/>
        <v>0</v>
      </c>
      <c r="U212" s="623">
        <f t="shared" si="60"/>
        <v>0</v>
      </c>
      <c r="V212" s="623">
        <f t="shared" si="60"/>
        <v>0</v>
      </c>
      <c r="W212" s="556">
        <f t="shared" si="60"/>
        <v>0</v>
      </c>
      <c r="X212" s="63" t="str">
        <f>IF(H212=W212,"OK","Error")</f>
        <v>OK</v>
      </c>
      <c r="Y212" s="289">
        <v>0</v>
      </c>
      <c r="Z212" s="289">
        <f>H212-Y212</f>
        <v>0</v>
      </c>
    </row>
    <row r="213" spans="3:26" s="63" customFormat="1" ht="12" x14ac:dyDescent="0.2">
      <c r="C213" s="64"/>
      <c r="D213" s="294"/>
      <c r="E213" s="301"/>
      <c r="F213" s="281"/>
      <c r="G213" s="678"/>
      <c r="H213" s="552"/>
      <c r="J213" s="622"/>
      <c r="K213" s="560"/>
      <c r="L213" s="560"/>
      <c r="M213" s="560"/>
      <c r="N213" s="560"/>
      <c r="O213" s="560"/>
      <c r="P213" s="560"/>
      <c r="Q213" s="560"/>
      <c r="R213" s="560"/>
      <c r="S213" s="560"/>
      <c r="T213" s="560"/>
      <c r="U213" s="560"/>
      <c r="V213" s="560"/>
      <c r="W213" s="552"/>
      <c r="Y213" s="289"/>
      <c r="Z213" s="289"/>
    </row>
    <row r="214" spans="3:26" s="63" customFormat="1" ht="12" x14ac:dyDescent="0.2">
      <c r="C214" s="66" t="s">
        <v>102</v>
      </c>
      <c r="D214" s="294"/>
      <c r="E214" s="301"/>
      <c r="F214" s="281"/>
      <c r="G214" s="678"/>
      <c r="H214" s="552"/>
      <c r="J214" s="622"/>
      <c r="K214" s="560"/>
      <c r="L214" s="560"/>
      <c r="M214" s="560"/>
      <c r="N214" s="560"/>
      <c r="O214" s="560"/>
      <c r="P214" s="560"/>
      <c r="Q214" s="560"/>
      <c r="R214" s="560"/>
      <c r="S214" s="560"/>
      <c r="T214" s="560"/>
      <c r="U214" s="560"/>
      <c r="V214" s="560"/>
      <c r="W214" s="552"/>
      <c r="Y214" s="289"/>
      <c r="Z214" s="289"/>
    </row>
    <row r="215" spans="3:26" s="63" customFormat="1" ht="12" outlineLevel="1" x14ac:dyDescent="0.2">
      <c r="C215" s="208">
        <v>6610</v>
      </c>
      <c r="D215" s="294"/>
      <c r="E215" s="301" t="s">
        <v>34</v>
      </c>
      <c r="F215" s="281"/>
      <c r="G215" s="678"/>
      <c r="H215" s="552"/>
      <c r="J215" s="622"/>
      <c r="K215" s="560"/>
      <c r="L215" s="560"/>
      <c r="M215" s="560"/>
      <c r="N215" s="560"/>
      <c r="O215" s="560"/>
      <c r="P215" s="560"/>
      <c r="Q215" s="560"/>
      <c r="R215" s="560"/>
      <c r="S215" s="560"/>
      <c r="T215" s="560"/>
      <c r="U215" s="560"/>
      <c r="V215" s="560"/>
      <c r="W215" s="552"/>
      <c r="Y215" s="289"/>
      <c r="Z215" s="289"/>
    </row>
    <row r="216" spans="3:26" s="63" customFormat="1" ht="12" outlineLevel="1" x14ac:dyDescent="0.2">
      <c r="C216" s="64"/>
      <c r="D216" s="598" t="s">
        <v>278</v>
      </c>
      <c r="E216" s="568" t="s">
        <v>396</v>
      </c>
      <c r="F216" s="576">
        <v>2</v>
      </c>
      <c r="G216" s="613">
        <v>192</v>
      </c>
      <c r="H216" s="618">
        <f t="shared" ref="H216:H222" si="61">IF(J216="NO", F216*G216,SUM(J216:V216))</f>
        <v>384</v>
      </c>
      <c r="J216" s="625" t="s">
        <v>543</v>
      </c>
      <c r="K216" s="611">
        <v>0</v>
      </c>
      <c r="L216" s="611">
        <v>0</v>
      </c>
      <c r="M216" s="611">
        <v>0</v>
      </c>
      <c r="N216" s="611">
        <v>384</v>
      </c>
      <c r="O216" s="611">
        <v>0</v>
      </c>
      <c r="P216" s="611">
        <v>0</v>
      </c>
      <c r="Q216" s="611">
        <v>0</v>
      </c>
      <c r="R216" s="611">
        <v>0</v>
      </c>
      <c r="S216" s="611">
        <v>0</v>
      </c>
      <c r="T216" s="611">
        <v>0</v>
      </c>
      <c r="U216" s="611">
        <v>0</v>
      </c>
      <c r="V216" s="611">
        <v>0</v>
      </c>
      <c r="W216" s="618">
        <f t="shared" ref="W216:W222" si="62">SUM(K216:V216)</f>
        <v>384</v>
      </c>
      <c r="Y216" s="289"/>
      <c r="Z216" s="289"/>
    </row>
    <row r="217" spans="3:26" s="63" customFormat="1" ht="12" outlineLevel="1" x14ac:dyDescent="0.2">
      <c r="C217" s="64"/>
      <c r="D217" s="572" t="s">
        <v>259</v>
      </c>
      <c r="E217" s="573" t="s">
        <v>333</v>
      </c>
      <c r="F217" s="566">
        <v>12</v>
      </c>
      <c r="G217" s="612">
        <v>100</v>
      </c>
      <c r="H217" s="618">
        <f t="shared" si="61"/>
        <v>1200</v>
      </c>
      <c r="J217" s="626" t="s">
        <v>542</v>
      </c>
      <c r="K217" s="612">
        <f t="shared" ref="K217:V222" si="63">$F217*$G217/12</f>
        <v>100</v>
      </c>
      <c r="L217" s="612">
        <f t="shared" si="63"/>
        <v>100</v>
      </c>
      <c r="M217" s="612">
        <f t="shared" si="63"/>
        <v>100</v>
      </c>
      <c r="N217" s="612">
        <f t="shared" si="63"/>
        <v>100</v>
      </c>
      <c r="O217" s="612">
        <f t="shared" si="63"/>
        <v>100</v>
      </c>
      <c r="P217" s="612">
        <f t="shared" si="63"/>
        <v>100</v>
      </c>
      <c r="Q217" s="612">
        <f t="shared" si="63"/>
        <v>100</v>
      </c>
      <c r="R217" s="612">
        <f t="shared" si="63"/>
        <v>100</v>
      </c>
      <c r="S217" s="612">
        <f t="shared" si="63"/>
        <v>100</v>
      </c>
      <c r="T217" s="612">
        <f t="shared" si="63"/>
        <v>100</v>
      </c>
      <c r="U217" s="612">
        <f t="shared" si="63"/>
        <v>100</v>
      </c>
      <c r="V217" s="612">
        <f t="shared" si="63"/>
        <v>100</v>
      </c>
      <c r="W217" s="618">
        <f t="shared" si="62"/>
        <v>1200</v>
      </c>
      <c r="Y217" s="289"/>
      <c r="Z217" s="289"/>
    </row>
    <row r="218" spans="3:26" s="63" customFormat="1" ht="12" outlineLevel="1" x14ac:dyDescent="0.2">
      <c r="C218" s="64"/>
      <c r="D218" s="572" t="s">
        <v>267</v>
      </c>
      <c r="E218" s="573" t="s">
        <v>332</v>
      </c>
      <c r="F218" s="566">
        <v>12</v>
      </c>
      <c r="G218" s="612">
        <v>100</v>
      </c>
      <c r="H218" s="618">
        <f t="shared" si="61"/>
        <v>1200</v>
      </c>
      <c r="J218" s="626" t="s">
        <v>542</v>
      </c>
      <c r="K218" s="612">
        <f t="shared" si="63"/>
        <v>100</v>
      </c>
      <c r="L218" s="612">
        <f t="shared" si="63"/>
        <v>100</v>
      </c>
      <c r="M218" s="612">
        <f t="shared" si="63"/>
        <v>100</v>
      </c>
      <c r="N218" s="612">
        <f t="shared" si="63"/>
        <v>100</v>
      </c>
      <c r="O218" s="612">
        <f t="shared" si="63"/>
        <v>100</v>
      </c>
      <c r="P218" s="612">
        <f t="shared" si="63"/>
        <v>100</v>
      </c>
      <c r="Q218" s="612">
        <f t="shared" si="63"/>
        <v>100</v>
      </c>
      <c r="R218" s="612">
        <f t="shared" si="63"/>
        <v>100</v>
      </c>
      <c r="S218" s="612">
        <f t="shared" si="63"/>
        <v>100</v>
      </c>
      <c r="T218" s="612">
        <f t="shared" si="63"/>
        <v>100</v>
      </c>
      <c r="U218" s="612">
        <f t="shared" si="63"/>
        <v>100</v>
      </c>
      <c r="V218" s="612">
        <f t="shared" si="63"/>
        <v>100</v>
      </c>
      <c r="W218" s="618">
        <f t="shared" si="62"/>
        <v>1200</v>
      </c>
      <c r="Y218" s="289"/>
      <c r="Z218" s="289"/>
    </row>
    <row r="219" spans="3:26" s="63" customFormat="1" ht="12" outlineLevel="1" x14ac:dyDescent="0.2">
      <c r="C219" s="64"/>
      <c r="D219" s="572" t="s">
        <v>268</v>
      </c>
      <c r="E219" s="573" t="s">
        <v>334</v>
      </c>
      <c r="F219" s="566">
        <v>12</v>
      </c>
      <c r="G219" s="612">
        <v>300</v>
      </c>
      <c r="H219" s="618">
        <f t="shared" si="61"/>
        <v>3600</v>
      </c>
      <c r="J219" s="626" t="s">
        <v>542</v>
      </c>
      <c r="K219" s="612">
        <f t="shared" si="63"/>
        <v>300</v>
      </c>
      <c r="L219" s="612">
        <f t="shared" si="63"/>
        <v>300</v>
      </c>
      <c r="M219" s="612">
        <f t="shared" si="63"/>
        <v>300</v>
      </c>
      <c r="N219" s="612">
        <f t="shared" si="63"/>
        <v>300</v>
      </c>
      <c r="O219" s="612">
        <f t="shared" si="63"/>
        <v>300</v>
      </c>
      <c r="P219" s="612">
        <f t="shared" si="63"/>
        <v>300</v>
      </c>
      <c r="Q219" s="612">
        <f t="shared" si="63"/>
        <v>300</v>
      </c>
      <c r="R219" s="612">
        <f t="shared" si="63"/>
        <v>300</v>
      </c>
      <c r="S219" s="612">
        <f t="shared" si="63"/>
        <v>300</v>
      </c>
      <c r="T219" s="612">
        <f t="shared" si="63"/>
        <v>300</v>
      </c>
      <c r="U219" s="612">
        <f t="shared" si="63"/>
        <v>300</v>
      </c>
      <c r="V219" s="612">
        <f t="shared" si="63"/>
        <v>300</v>
      </c>
      <c r="W219" s="618">
        <f t="shared" si="62"/>
        <v>3600</v>
      </c>
      <c r="Y219" s="289"/>
      <c r="Z219" s="289"/>
    </row>
    <row r="220" spans="3:26" s="63" customFormat="1" ht="12" outlineLevel="1" x14ac:dyDescent="0.2">
      <c r="C220" s="64"/>
      <c r="D220" s="564" t="s">
        <v>258</v>
      </c>
      <c r="E220" s="565" t="s">
        <v>522</v>
      </c>
      <c r="F220" s="566">
        <v>0</v>
      </c>
      <c r="G220" s="612">
        <v>0</v>
      </c>
      <c r="H220" s="618">
        <f t="shared" si="61"/>
        <v>0</v>
      </c>
      <c r="J220" s="626" t="s">
        <v>542</v>
      </c>
      <c r="K220" s="612">
        <f t="shared" si="63"/>
        <v>0</v>
      </c>
      <c r="L220" s="612">
        <f t="shared" si="63"/>
        <v>0</v>
      </c>
      <c r="M220" s="612">
        <f t="shared" si="63"/>
        <v>0</v>
      </c>
      <c r="N220" s="612">
        <f t="shared" si="63"/>
        <v>0</v>
      </c>
      <c r="O220" s="612">
        <f t="shared" si="63"/>
        <v>0</v>
      </c>
      <c r="P220" s="612">
        <f t="shared" si="63"/>
        <v>0</v>
      </c>
      <c r="Q220" s="612">
        <f t="shared" si="63"/>
        <v>0</v>
      </c>
      <c r="R220" s="612">
        <f t="shared" si="63"/>
        <v>0</v>
      </c>
      <c r="S220" s="612">
        <f t="shared" si="63"/>
        <v>0</v>
      </c>
      <c r="T220" s="612">
        <f t="shared" si="63"/>
        <v>0</v>
      </c>
      <c r="U220" s="612">
        <f t="shared" si="63"/>
        <v>0</v>
      </c>
      <c r="V220" s="612">
        <f t="shared" si="63"/>
        <v>0</v>
      </c>
      <c r="W220" s="618">
        <f t="shared" si="62"/>
        <v>0</v>
      </c>
      <c r="Y220" s="289"/>
      <c r="Z220" s="289"/>
    </row>
    <row r="221" spans="3:26" s="63" customFormat="1" ht="12" outlineLevel="1" x14ac:dyDescent="0.2">
      <c r="C221" s="64"/>
      <c r="D221" s="564" t="s">
        <v>258</v>
      </c>
      <c r="E221" s="565"/>
      <c r="F221" s="566">
        <v>0</v>
      </c>
      <c r="G221" s="612">
        <v>0</v>
      </c>
      <c r="H221" s="618">
        <f t="shared" si="61"/>
        <v>0</v>
      </c>
      <c r="J221" s="626" t="s">
        <v>542</v>
      </c>
      <c r="K221" s="612">
        <f t="shared" si="63"/>
        <v>0</v>
      </c>
      <c r="L221" s="612">
        <f t="shared" si="63"/>
        <v>0</v>
      </c>
      <c r="M221" s="612">
        <f t="shared" si="63"/>
        <v>0</v>
      </c>
      <c r="N221" s="612">
        <f t="shared" si="63"/>
        <v>0</v>
      </c>
      <c r="O221" s="612">
        <f t="shared" si="63"/>
        <v>0</v>
      </c>
      <c r="P221" s="612">
        <f t="shared" si="63"/>
        <v>0</v>
      </c>
      <c r="Q221" s="612">
        <f t="shared" si="63"/>
        <v>0</v>
      </c>
      <c r="R221" s="612">
        <f t="shared" si="63"/>
        <v>0</v>
      </c>
      <c r="S221" s="612">
        <f t="shared" si="63"/>
        <v>0</v>
      </c>
      <c r="T221" s="612">
        <f t="shared" si="63"/>
        <v>0</v>
      </c>
      <c r="U221" s="612">
        <f t="shared" si="63"/>
        <v>0</v>
      </c>
      <c r="V221" s="612">
        <f t="shared" si="63"/>
        <v>0</v>
      </c>
      <c r="W221" s="618">
        <f t="shared" si="62"/>
        <v>0</v>
      </c>
      <c r="Y221" s="289"/>
      <c r="Z221" s="289"/>
    </row>
    <row r="222" spans="3:26" s="63" customFormat="1" ht="12" outlineLevel="1" x14ac:dyDescent="0.2">
      <c r="C222" s="64"/>
      <c r="D222" s="564" t="s">
        <v>258</v>
      </c>
      <c r="E222" s="565"/>
      <c r="F222" s="566">
        <v>0</v>
      </c>
      <c r="G222" s="612">
        <v>0</v>
      </c>
      <c r="H222" s="618">
        <f t="shared" si="61"/>
        <v>0</v>
      </c>
      <c r="J222" s="626" t="s">
        <v>542</v>
      </c>
      <c r="K222" s="612">
        <f t="shared" si="63"/>
        <v>0</v>
      </c>
      <c r="L222" s="612">
        <f t="shared" si="63"/>
        <v>0</v>
      </c>
      <c r="M222" s="612">
        <f t="shared" si="63"/>
        <v>0</v>
      </c>
      <c r="N222" s="612">
        <f t="shared" si="63"/>
        <v>0</v>
      </c>
      <c r="O222" s="612">
        <f t="shared" si="63"/>
        <v>0</v>
      </c>
      <c r="P222" s="612">
        <f t="shared" si="63"/>
        <v>0</v>
      </c>
      <c r="Q222" s="612">
        <f t="shared" si="63"/>
        <v>0</v>
      </c>
      <c r="R222" s="612">
        <f t="shared" si="63"/>
        <v>0</v>
      </c>
      <c r="S222" s="612">
        <f t="shared" si="63"/>
        <v>0</v>
      </c>
      <c r="T222" s="612">
        <f t="shared" si="63"/>
        <v>0</v>
      </c>
      <c r="U222" s="612">
        <f t="shared" si="63"/>
        <v>0</v>
      </c>
      <c r="V222" s="612">
        <f t="shared" si="63"/>
        <v>0</v>
      </c>
      <c r="W222" s="618">
        <f t="shared" si="62"/>
        <v>0</v>
      </c>
      <c r="Y222" s="289"/>
      <c r="Z222" s="289"/>
    </row>
    <row r="223" spans="3:26" s="63" customFormat="1" ht="3.6" customHeight="1" outlineLevel="1" thickBot="1" x14ac:dyDescent="0.25">
      <c r="C223" s="64"/>
      <c r="D223" s="296"/>
      <c r="E223" s="302"/>
      <c r="F223" s="283"/>
      <c r="G223" s="619"/>
      <c r="H223" s="555"/>
      <c r="J223" s="627"/>
      <c r="K223" s="562"/>
      <c r="L223" s="562"/>
      <c r="M223" s="562"/>
      <c r="N223" s="562"/>
      <c r="O223" s="562"/>
      <c r="P223" s="562"/>
      <c r="Q223" s="562"/>
      <c r="R223" s="562"/>
      <c r="S223" s="562"/>
      <c r="T223" s="562"/>
      <c r="U223" s="562"/>
      <c r="V223" s="562"/>
      <c r="W223" s="555"/>
      <c r="Y223" s="289"/>
      <c r="Z223" s="289"/>
    </row>
    <row r="224" spans="3:26" s="63" customFormat="1" ht="12.75" thickBot="1" x14ac:dyDescent="0.25">
      <c r="C224" s="64"/>
      <c r="D224" s="294"/>
      <c r="E224" s="301"/>
      <c r="F224" s="284" t="str">
        <f>E215</f>
        <v>General Supplies</v>
      </c>
      <c r="G224" s="679">
        <f>C215</f>
        <v>6610</v>
      </c>
      <c r="H224" s="556">
        <f>SUBTOTAL(9,H216:H223)</f>
        <v>6384</v>
      </c>
      <c r="J224" s="629"/>
      <c r="K224" s="623">
        <f t="shared" ref="K224:W224" si="64">SUBTOTAL(9,K216:K223)</f>
        <v>500</v>
      </c>
      <c r="L224" s="623">
        <f t="shared" si="64"/>
        <v>500</v>
      </c>
      <c r="M224" s="623">
        <f t="shared" si="64"/>
        <v>500</v>
      </c>
      <c r="N224" s="623">
        <f t="shared" si="64"/>
        <v>884</v>
      </c>
      <c r="O224" s="623">
        <f t="shared" si="64"/>
        <v>500</v>
      </c>
      <c r="P224" s="623">
        <f t="shared" si="64"/>
        <v>500</v>
      </c>
      <c r="Q224" s="623">
        <f t="shared" si="64"/>
        <v>500</v>
      </c>
      <c r="R224" s="623">
        <f t="shared" si="64"/>
        <v>500</v>
      </c>
      <c r="S224" s="623">
        <f t="shared" si="64"/>
        <v>500</v>
      </c>
      <c r="T224" s="623">
        <f t="shared" si="64"/>
        <v>500</v>
      </c>
      <c r="U224" s="623">
        <f t="shared" si="64"/>
        <v>500</v>
      </c>
      <c r="V224" s="623">
        <f t="shared" si="64"/>
        <v>500</v>
      </c>
      <c r="W224" s="556">
        <f t="shared" si="64"/>
        <v>6384</v>
      </c>
      <c r="Y224" s="289">
        <v>0</v>
      </c>
      <c r="Z224" s="289">
        <f>H224-Y224</f>
        <v>6384</v>
      </c>
    </row>
    <row r="225" spans="3:26" s="63" customFormat="1" ht="12" outlineLevel="1" x14ac:dyDescent="0.2">
      <c r="C225" s="64"/>
      <c r="D225" s="294"/>
      <c r="E225" s="301"/>
      <c r="F225" s="281"/>
      <c r="G225" s="678"/>
      <c r="H225" s="552"/>
      <c r="J225" s="622"/>
      <c r="K225" s="560"/>
      <c r="L225" s="560"/>
      <c r="M225" s="560"/>
      <c r="N225" s="560"/>
      <c r="O225" s="560"/>
      <c r="P225" s="560"/>
      <c r="Q225" s="560"/>
      <c r="R225" s="560"/>
      <c r="S225" s="560"/>
      <c r="T225" s="560"/>
      <c r="U225" s="560"/>
      <c r="V225" s="560"/>
      <c r="W225" s="552"/>
      <c r="Y225" s="289"/>
      <c r="Z225" s="289"/>
    </row>
    <row r="226" spans="3:26" s="63" customFormat="1" ht="12" outlineLevel="1" x14ac:dyDescent="0.2">
      <c r="C226" s="208">
        <v>6612</v>
      </c>
      <c r="D226" s="294"/>
      <c r="E226" s="301" t="s">
        <v>35</v>
      </c>
      <c r="F226" s="281"/>
      <c r="G226" s="678"/>
      <c r="H226" s="552"/>
      <c r="J226" s="622"/>
      <c r="K226" s="560"/>
      <c r="L226" s="560"/>
      <c r="M226" s="560"/>
      <c r="N226" s="560"/>
      <c r="O226" s="560"/>
      <c r="P226" s="560"/>
      <c r="Q226" s="560"/>
      <c r="R226" s="560"/>
      <c r="S226" s="560"/>
      <c r="T226" s="560"/>
      <c r="U226" s="560"/>
      <c r="V226" s="560"/>
      <c r="W226" s="552"/>
      <c r="Y226" s="289"/>
      <c r="Z226" s="289"/>
    </row>
    <row r="227" spans="3:26" s="63" customFormat="1" ht="12" outlineLevel="1" x14ac:dyDescent="0.2">
      <c r="C227" s="64"/>
      <c r="D227" s="595" t="s">
        <v>258</v>
      </c>
      <c r="E227" s="596"/>
      <c r="F227" s="597">
        <v>0</v>
      </c>
      <c r="G227" s="614">
        <v>0</v>
      </c>
      <c r="H227" s="618">
        <f>IF(J227="NO", F227*G227,SUM(J227:V227))</f>
        <v>0</v>
      </c>
      <c r="J227" s="631" t="s">
        <v>542</v>
      </c>
      <c r="K227" s="614">
        <f t="shared" ref="K227:V231" si="65">$F227*$G227/12</f>
        <v>0</v>
      </c>
      <c r="L227" s="614">
        <f t="shared" si="65"/>
        <v>0</v>
      </c>
      <c r="M227" s="614">
        <f t="shared" si="65"/>
        <v>0</v>
      </c>
      <c r="N227" s="614">
        <f t="shared" si="65"/>
        <v>0</v>
      </c>
      <c r="O227" s="614">
        <f t="shared" si="65"/>
        <v>0</v>
      </c>
      <c r="P227" s="614">
        <f t="shared" si="65"/>
        <v>0</v>
      </c>
      <c r="Q227" s="614">
        <f t="shared" si="65"/>
        <v>0</v>
      </c>
      <c r="R227" s="614">
        <f t="shared" si="65"/>
        <v>0</v>
      </c>
      <c r="S227" s="614">
        <f t="shared" si="65"/>
        <v>0</v>
      </c>
      <c r="T227" s="614">
        <f t="shared" si="65"/>
        <v>0</v>
      </c>
      <c r="U227" s="614">
        <f t="shared" si="65"/>
        <v>0</v>
      </c>
      <c r="V227" s="614">
        <f t="shared" si="65"/>
        <v>0</v>
      </c>
      <c r="W227" s="637">
        <f>SUM(K227:V227)</f>
        <v>0</v>
      </c>
      <c r="Y227" s="289"/>
      <c r="Z227" s="289"/>
    </row>
    <row r="228" spans="3:26" s="63" customFormat="1" ht="12" outlineLevel="1" x14ac:dyDescent="0.2">
      <c r="C228" s="64"/>
      <c r="D228" s="595" t="s">
        <v>258</v>
      </c>
      <c r="E228" s="596"/>
      <c r="F228" s="597">
        <v>0</v>
      </c>
      <c r="G228" s="614">
        <v>0</v>
      </c>
      <c r="H228" s="618">
        <f>IF(J228="NO", F228*G228,SUM(J228:V228))</f>
        <v>0</v>
      </c>
      <c r="J228" s="631" t="s">
        <v>542</v>
      </c>
      <c r="K228" s="614">
        <f t="shared" si="65"/>
        <v>0</v>
      </c>
      <c r="L228" s="614">
        <f t="shared" si="65"/>
        <v>0</v>
      </c>
      <c r="M228" s="614">
        <f t="shared" si="65"/>
        <v>0</v>
      </c>
      <c r="N228" s="614">
        <f t="shared" si="65"/>
        <v>0</v>
      </c>
      <c r="O228" s="614">
        <f t="shared" si="65"/>
        <v>0</v>
      </c>
      <c r="P228" s="614">
        <f t="shared" si="65"/>
        <v>0</v>
      </c>
      <c r="Q228" s="614">
        <f t="shared" si="65"/>
        <v>0</v>
      </c>
      <c r="R228" s="614">
        <f t="shared" si="65"/>
        <v>0</v>
      </c>
      <c r="S228" s="614">
        <f t="shared" si="65"/>
        <v>0</v>
      </c>
      <c r="T228" s="614">
        <f t="shared" si="65"/>
        <v>0</v>
      </c>
      <c r="U228" s="614">
        <f t="shared" si="65"/>
        <v>0</v>
      </c>
      <c r="V228" s="614">
        <f t="shared" si="65"/>
        <v>0</v>
      </c>
      <c r="W228" s="637">
        <f>SUM(K228:V228)</f>
        <v>0</v>
      </c>
      <c r="Y228" s="289"/>
      <c r="Z228" s="289"/>
    </row>
    <row r="229" spans="3:26" s="63" customFormat="1" ht="12" outlineLevel="1" x14ac:dyDescent="0.2">
      <c r="C229" s="64"/>
      <c r="D229" s="595" t="s">
        <v>258</v>
      </c>
      <c r="E229" s="596"/>
      <c r="F229" s="597">
        <v>0</v>
      </c>
      <c r="G229" s="614">
        <v>0</v>
      </c>
      <c r="H229" s="618">
        <f>IF(J229="NO", F229*G229,SUM(J229:V229))</f>
        <v>0</v>
      </c>
      <c r="J229" s="631" t="s">
        <v>542</v>
      </c>
      <c r="K229" s="614">
        <f t="shared" si="65"/>
        <v>0</v>
      </c>
      <c r="L229" s="614">
        <f t="shared" si="65"/>
        <v>0</v>
      </c>
      <c r="M229" s="614">
        <f t="shared" si="65"/>
        <v>0</v>
      </c>
      <c r="N229" s="614">
        <f t="shared" si="65"/>
        <v>0</v>
      </c>
      <c r="O229" s="614">
        <f t="shared" si="65"/>
        <v>0</v>
      </c>
      <c r="P229" s="614">
        <f t="shared" si="65"/>
        <v>0</v>
      </c>
      <c r="Q229" s="614">
        <f t="shared" si="65"/>
        <v>0</v>
      </c>
      <c r="R229" s="614">
        <f t="shared" si="65"/>
        <v>0</v>
      </c>
      <c r="S229" s="614">
        <f t="shared" si="65"/>
        <v>0</v>
      </c>
      <c r="T229" s="614">
        <f t="shared" si="65"/>
        <v>0</v>
      </c>
      <c r="U229" s="614">
        <f t="shared" si="65"/>
        <v>0</v>
      </c>
      <c r="V229" s="614">
        <f t="shared" si="65"/>
        <v>0</v>
      </c>
      <c r="W229" s="637">
        <f>SUM(K229:V229)</f>
        <v>0</v>
      </c>
      <c r="Y229" s="289"/>
      <c r="Z229" s="289"/>
    </row>
    <row r="230" spans="3:26" s="63" customFormat="1" ht="12" outlineLevel="1" x14ac:dyDescent="0.2">
      <c r="C230" s="64"/>
      <c r="D230" s="595" t="s">
        <v>258</v>
      </c>
      <c r="E230" s="596"/>
      <c r="F230" s="597">
        <v>0</v>
      </c>
      <c r="G230" s="614">
        <v>0</v>
      </c>
      <c r="H230" s="618">
        <f>IF(J230="NO", F230*G230,SUM(J230:V230))</f>
        <v>0</v>
      </c>
      <c r="J230" s="631" t="s">
        <v>542</v>
      </c>
      <c r="K230" s="614">
        <f t="shared" si="65"/>
        <v>0</v>
      </c>
      <c r="L230" s="614">
        <f t="shared" si="65"/>
        <v>0</v>
      </c>
      <c r="M230" s="614">
        <f t="shared" si="65"/>
        <v>0</v>
      </c>
      <c r="N230" s="614">
        <f t="shared" si="65"/>
        <v>0</v>
      </c>
      <c r="O230" s="614">
        <f t="shared" si="65"/>
        <v>0</v>
      </c>
      <c r="P230" s="614">
        <f t="shared" si="65"/>
        <v>0</v>
      </c>
      <c r="Q230" s="614">
        <f t="shared" si="65"/>
        <v>0</v>
      </c>
      <c r="R230" s="614">
        <f t="shared" si="65"/>
        <v>0</v>
      </c>
      <c r="S230" s="614">
        <f t="shared" si="65"/>
        <v>0</v>
      </c>
      <c r="T230" s="614">
        <f t="shared" si="65"/>
        <v>0</v>
      </c>
      <c r="U230" s="614">
        <f t="shared" si="65"/>
        <v>0</v>
      </c>
      <c r="V230" s="614">
        <f t="shared" si="65"/>
        <v>0</v>
      </c>
      <c r="W230" s="637">
        <f>SUM(K230:V230)</f>
        <v>0</v>
      </c>
      <c r="Y230" s="289"/>
      <c r="Z230" s="289"/>
    </row>
    <row r="231" spans="3:26" s="63" customFormat="1" ht="12" outlineLevel="1" x14ac:dyDescent="0.2">
      <c r="C231" s="64"/>
      <c r="D231" s="595" t="s">
        <v>258</v>
      </c>
      <c r="E231" s="596"/>
      <c r="F231" s="597">
        <v>0</v>
      </c>
      <c r="G231" s="614">
        <v>0</v>
      </c>
      <c r="H231" s="618">
        <f>IF(J231="NO", F231*G231,SUM(J231:V231))</f>
        <v>0</v>
      </c>
      <c r="J231" s="631" t="s">
        <v>542</v>
      </c>
      <c r="K231" s="614">
        <f t="shared" si="65"/>
        <v>0</v>
      </c>
      <c r="L231" s="614">
        <f t="shared" si="65"/>
        <v>0</v>
      </c>
      <c r="M231" s="614">
        <f t="shared" si="65"/>
        <v>0</v>
      </c>
      <c r="N231" s="614">
        <f t="shared" si="65"/>
        <v>0</v>
      </c>
      <c r="O231" s="614">
        <f t="shared" si="65"/>
        <v>0</v>
      </c>
      <c r="P231" s="614">
        <f t="shared" si="65"/>
        <v>0</v>
      </c>
      <c r="Q231" s="614">
        <f t="shared" si="65"/>
        <v>0</v>
      </c>
      <c r="R231" s="614">
        <f t="shared" si="65"/>
        <v>0</v>
      </c>
      <c r="S231" s="614">
        <f t="shared" si="65"/>
        <v>0</v>
      </c>
      <c r="T231" s="614">
        <f t="shared" si="65"/>
        <v>0</v>
      </c>
      <c r="U231" s="614">
        <f t="shared" si="65"/>
        <v>0</v>
      </c>
      <c r="V231" s="614">
        <f t="shared" si="65"/>
        <v>0</v>
      </c>
      <c r="W231" s="637">
        <f>SUM(K231:V231)</f>
        <v>0</v>
      </c>
      <c r="Y231" s="289"/>
      <c r="Z231" s="289"/>
    </row>
    <row r="232" spans="3:26" s="63" customFormat="1" ht="3.6" customHeight="1" outlineLevel="1" thickBot="1" x14ac:dyDescent="0.25">
      <c r="C232" s="64"/>
      <c r="D232" s="296"/>
      <c r="E232" s="302"/>
      <c r="F232" s="283"/>
      <c r="G232" s="619"/>
      <c r="H232" s="555"/>
      <c r="J232" s="627"/>
      <c r="K232" s="562"/>
      <c r="L232" s="562"/>
      <c r="M232" s="562"/>
      <c r="N232" s="562"/>
      <c r="O232" s="562"/>
      <c r="P232" s="562"/>
      <c r="Q232" s="562"/>
      <c r="R232" s="562"/>
      <c r="S232" s="562"/>
      <c r="T232" s="562"/>
      <c r="U232" s="562"/>
      <c r="V232" s="562"/>
      <c r="W232" s="555"/>
      <c r="Y232" s="289"/>
      <c r="Z232" s="289"/>
    </row>
    <row r="233" spans="3:26" s="63" customFormat="1" ht="12.75" thickBot="1" x14ac:dyDescent="0.25">
      <c r="C233" s="64"/>
      <c r="D233" s="294"/>
      <c r="E233" s="301"/>
      <c r="F233" s="284" t="str">
        <f>E226</f>
        <v>Technology Supplies and Equipment</v>
      </c>
      <c r="G233" s="679">
        <f>C226</f>
        <v>6612</v>
      </c>
      <c r="H233" s="556">
        <f>SUBTOTAL(9,H227:H232)</f>
        <v>0</v>
      </c>
      <c r="J233" s="629"/>
      <c r="K233" s="623">
        <f t="shared" ref="K233:W233" si="66">SUBTOTAL(9,K227:K232)</f>
        <v>0</v>
      </c>
      <c r="L233" s="623">
        <f t="shared" si="66"/>
        <v>0</v>
      </c>
      <c r="M233" s="623">
        <f t="shared" si="66"/>
        <v>0</v>
      </c>
      <c r="N233" s="623">
        <f t="shared" si="66"/>
        <v>0</v>
      </c>
      <c r="O233" s="623">
        <f t="shared" si="66"/>
        <v>0</v>
      </c>
      <c r="P233" s="623">
        <f t="shared" si="66"/>
        <v>0</v>
      </c>
      <c r="Q233" s="623">
        <f t="shared" si="66"/>
        <v>0</v>
      </c>
      <c r="R233" s="623">
        <f t="shared" si="66"/>
        <v>0</v>
      </c>
      <c r="S233" s="623">
        <f t="shared" si="66"/>
        <v>0</v>
      </c>
      <c r="T233" s="623">
        <f t="shared" si="66"/>
        <v>0</v>
      </c>
      <c r="U233" s="623">
        <f t="shared" si="66"/>
        <v>0</v>
      </c>
      <c r="V233" s="623">
        <f t="shared" si="66"/>
        <v>0</v>
      </c>
      <c r="W233" s="556">
        <f t="shared" si="66"/>
        <v>0</v>
      </c>
      <c r="X233" s="63" t="str">
        <f>IF(H233=W233,"OK","Error")</f>
        <v>OK</v>
      </c>
      <c r="Y233" s="289">
        <v>0</v>
      </c>
      <c r="Z233" s="289">
        <f>H233-Y233</f>
        <v>0</v>
      </c>
    </row>
    <row r="234" spans="3:26" s="63" customFormat="1" ht="12" outlineLevel="1" x14ac:dyDescent="0.2">
      <c r="C234" s="64"/>
      <c r="D234" s="294"/>
      <c r="E234" s="301"/>
      <c r="F234" s="281"/>
      <c r="G234" s="678"/>
      <c r="H234" s="552"/>
      <c r="J234" s="622"/>
      <c r="K234" s="560"/>
      <c r="L234" s="560"/>
      <c r="M234" s="560"/>
      <c r="N234" s="560"/>
      <c r="O234" s="560"/>
      <c r="P234" s="560"/>
      <c r="Q234" s="560"/>
      <c r="R234" s="560"/>
      <c r="S234" s="560"/>
      <c r="T234" s="560"/>
      <c r="U234" s="560"/>
      <c r="V234" s="560"/>
      <c r="W234" s="552"/>
      <c r="Y234" s="289"/>
      <c r="Z234" s="289"/>
    </row>
    <row r="235" spans="3:26" s="63" customFormat="1" ht="12" outlineLevel="1" x14ac:dyDescent="0.2">
      <c r="C235" s="208">
        <v>6622</v>
      </c>
      <c r="D235" s="294"/>
      <c r="E235" s="301" t="s">
        <v>36</v>
      </c>
      <c r="F235" s="281"/>
      <c r="G235" s="678"/>
      <c r="H235" s="552"/>
      <c r="J235" s="622"/>
      <c r="K235" s="560"/>
      <c r="L235" s="560"/>
      <c r="M235" s="560"/>
      <c r="N235" s="560"/>
      <c r="O235" s="560"/>
      <c r="P235" s="560"/>
      <c r="Q235" s="560"/>
      <c r="R235" s="560"/>
      <c r="S235" s="560"/>
      <c r="T235" s="560"/>
      <c r="U235" s="560"/>
      <c r="V235" s="560"/>
      <c r="W235" s="552"/>
      <c r="Y235" s="289"/>
      <c r="Z235" s="289"/>
    </row>
    <row r="236" spans="3:26" s="63" customFormat="1" ht="12" outlineLevel="1" x14ac:dyDescent="0.2">
      <c r="C236" s="64"/>
      <c r="D236" s="574" t="s">
        <v>273</v>
      </c>
      <c r="E236" s="575" t="s">
        <v>523</v>
      </c>
      <c r="F236" s="577">
        <v>12</v>
      </c>
      <c r="G236" s="615">
        <v>800</v>
      </c>
      <c r="H236" s="618">
        <f>IF(J236="NO", F236*G236,SUM(J236:V236))</f>
        <v>9600</v>
      </c>
      <c r="J236" s="630" t="s">
        <v>542</v>
      </c>
      <c r="K236" s="611">
        <f t="shared" ref="K236:V237" si="67">$F236*$G236/12</f>
        <v>800</v>
      </c>
      <c r="L236" s="611">
        <f t="shared" si="67"/>
        <v>800</v>
      </c>
      <c r="M236" s="611">
        <f t="shared" si="67"/>
        <v>800</v>
      </c>
      <c r="N236" s="611">
        <f t="shared" si="67"/>
        <v>800</v>
      </c>
      <c r="O236" s="611">
        <f t="shared" si="67"/>
        <v>800</v>
      </c>
      <c r="P236" s="611">
        <f t="shared" si="67"/>
        <v>800</v>
      </c>
      <c r="Q236" s="611">
        <f t="shared" si="67"/>
        <v>800</v>
      </c>
      <c r="R236" s="611">
        <f t="shared" si="67"/>
        <v>800</v>
      </c>
      <c r="S236" s="611">
        <f t="shared" si="67"/>
        <v>800</v>
      </c>
      <c r="T236" s="611">
        <f t="shared" si="67"/>
        <v>800</v>
      </c>
      <c r="U236" s="611">
        <f t="shared" si="67"/>
        <v>800</v>
      </c>
      <c r="V236" s="611">
        <f t="shared" si="67"/>
        <v>800</v>
      </c>
      <c r="W236" s="618">
        <f>SUM(K236:V236)</f>
        <v>9600</v>
      </c>
      <c r="Y236" s="289"/>
      <c r="Z236" s="289"/>
    </row>
    <row r="237" spans="3:26" s="63" customFormat="1" ht="12" outlineLevel="1" x14ac:dyDescent="0.2">
      <c r="C237" s="64"/>
      <c r="D237" s="595" t="s">
        <v>258</v>
      </c>
      <c r="E237" s="596"/>
      <c r="F237" s="597">
        <v>0</v>
      </c>
      <c r="G237" s="614">
        <v>0</v>
      </c>
      <c r="H237" s="618">
        <f>IF(J237="NO", F237*G237,SUM(J237:V237))</f>
        <v>0</v>
      </c>
      <c r="J237" s="631" t="s">
        <v>542</v>
      </c>
      <c r="K237" s="614">
        <f t="shared" si="67"/>
        <v>0</v>
      </c>
      <c r="L237" s="614">
        <f t="shared" si="67"/>
        <v>0</v>
      </c>
      <c r="M237" s="614">
        <f t="shared" si="67"/>
        <v>0</v>
      </c>
      <c r="N237" s="614">
        <f t="shared" si="67"/>
        <v>0</v>
      </c>
      <c r="O237" s="614">
        <f t="shared" si="67"/>
        <v>0</v>
      </c>
      <c r="P237" s="614">
        <f t="shared" si="67"/>
        <v>0</v>
      </c>
      <c r="Q237" s="614">
        <f t="shared" si="67"/>
        <v>0</v>
      </c>
      <c r="R237" s="614">
        <f t="shared" si="67"/>
        <v>0</v>
      </c>
      <c r="S237" s="614">
        <f t="shared" si="67"/>
        <v>0</v>
      </c>
      <c r="T237" s="614">
        <f t="shared" si="67"/>
        <v>0</v>
      </c>
      <c r="U237" s="614">
        <f t="shared" si="67"/>
        <v>0</v>
      </c>
      <c r="V237" s="614">
        <f t="shared" si="67"/>
        <v>0</v>
      </c>
      <c r="W237" s="637">
        <f>SUM(K237:V237)</f>
        <v>0</v>
      </c>
      <c r="Y237" s="289"/>
      <c r="Z237" s="289"/>
    </row>
    <row r="238" spans="3:26" s="63" customFormat="1" ht="3.6" customHeight="1" outlineLevel="1" thickBot="1" x14ac:dyDescent="0.25">
      <c r="C238" s="64"/>
      <c r="D238" s="296"/>
      <c r="E238" s="302"/>
      <c r="F238" s="283"/>
      <c r="G238" s="619"/>
      <c r="H238" s="555"/>
      <c r="J238" s="627"/>
      <c r="K238" s="562"/>
      <c r="L238" s="562"/>
      <c r="M238" s="562"/>
      <c r="N238" s="562"/>
      <c r="O238" s="562"/>
      <c r="P238" s="562"/>
      <c r="Q238" s="562"/>
      <c r="R238" s="562"/>
      <c r="S238" s="562"/>
      <c r="T238" s="562"/>
      <c r="U238" s="562"/>
      <c r="V238" s="562"/>
      <c r="W238" s="555"/>
      <c r="Y238" s="289"/>
      <c r="Z238" s="289"/>
    </row>
    <row r="239" spans="3:26" s="63" customFormat="1" ht="12.75" thickBot="1" x14ac:dyDescent="0.25">
      <c r="C239" s="64"/>
      <c r="D239" s="294"/>
      <c r="E239" s="301"/>
      <c r="F239" s="284" t="str">
        <f>E235</f>
        <v>Electricity</v>
      </c>
      <c r="G239" s="679">
        <f>C235</f>
        <v>6622</v>
      </c>
      <c r="H239" s="556">
        <f>SUBTOTAL(9,H236:H238)</f>
        <v>9600</v>
      </c>
      <c r="J239" s="629"/>
      <c r="K239" s="623">
        <f t="shared" ref="K239:W239" si="68">SUBTOTAL(9,K236:K238)</f>
        <v>800</v>
      </c>
      <c r="L239" s="623">
        <f t="shared" si="68"/>
        <v>800</v>
      </c>
      <c r="M239" s="623">
        <f t="shared" si="68"/>
        <v>800</v>
      </c>
      <c r="N239" s="623">
        <f t="shared" si="68"/>
        <v>800</v>
      </c>
      <c r="O239" s="623">
        <f t="shared" si="68"/>
        <v>800</v>
      </c>
      <c r="P239" s="623">
        <f t="shared" si="68"/>
        <v>800</v>
      </c>
      <c r="Q239" s="623">
        <f t="shared" si="68"/>
        <v>800</v>
      </c>
      <c r="R239" s="623">
        <f t="shared" si="68"/>
        <v>800</v>
      </c>
      <c r="S239" s="623">
        <f t="shared" si="68"/>
        <v>800</v>
      </c>
      <c r="T239" s="623">
        <f t="shared" si="68"/>
        <v>800</v>
      </c>
      <c r="U239" s="623">
        <f t="shared" si="68"/>
        <v>800</v>
      </c>
      <c r="V239" s="623">
        <f t="shared" si="68"/>
        <v>800</v>
      </c>
      <c r="W239" s="556">
        <f t="shared" si="68"/>
        <v>9600</v>
      </c>
      <c r="X239" s="63" t="str">
        <f>IF(H239=W239,"OK","Error")</f>
        <v>OK</v>
      </c>
      <c r="Y239" s="289">
        <v>0</v>
      </c>
      <c r="Z239" s="289">
        <f>H239-Y239</f>
        <v>9600</v>
      </c>
    </row>
    <row r="240" spans="3:26" s="63" customFormat="1" ht="12" outlineLevel="1" x14ac:dyDescent="0.2">
      <c r="C240" s="64"/>
      <c r="D240" s="294"/>
      <c r="E240" s="301"/>
      <c r="F240" s="281"/>
      <c r="G240" s="678"/>
      <c r="H240" s="552"/>
      <c r="J240" s="622"/>
      <c r="K240" s="560"/>
      <c r="L240" s="560"/>
      <c r="M240" s="560"/>
      <c r="N240" s="560"/>
      <c r="O240" s="560"/>
      <c r="P240" s="560"/>
      <c r="Q240" s="560"/>
      <c r="R240" s="560"/>
      <c r="S240" s="560"/>
      <c r="T240" s="560"/>
      <c r="U240" s="560"/>
      <c r="V240" s="560"/>
      <c r="W240" s="552"/>
      <c r="Y240" s="289"/>
      <c r="Z240" s="289"/>
    </row>
    <row r="241" spans="3:31" s="63" customFormat="1" ht="12" outlineLevel="1" x14ac:dyDescent="0.2">
      <c r="C241" s="208">
        <v>6641</v>
      </c>
      <c r="D241" s="294"/>
      <c r="E241" s="301" t="s">
        <v>37</v>
      </c>
      <c r="F241" s="281"/>
      <c r="G241" s="678"/>
      <c r="H241" s="552"/>
      <c r="J241" s="622"/>
      <c r="K241" s="560"/>
      <c r="L241" s="560"/>
      <c r="M241" s="560"/>
      <c r="N241" s="560"/>
      <c r="O241" s="560"/>
      <c r="P241" s="560"/>
      <c r="Q241" s="560"/>
      <c r="R241" s="560"/>
      <c r="S241" s="560"/>
      <c r="T241" s="560"/>
      <c r="U241" s="560"/>
      <c r="V241" s="560"/>
      <c r="W241" s="552"/>
      <c r="Y241" s="289"/>
      <c r="Z241" s="289"/>
    </row>
    <row r="242" spans="3:31" s="63" customFormat="1" ht="12" outlineLevel="1" x14ac:dyDescent="0.2">
      <c r="C242" s="64"/>
      <c r="D242" s="567" t="s">
        <v>259</v>
      </c>
      <c r="E242" s="568" t="s">
        <v>620</v>
      </c>
      <c r="F242" s="569">
        <f>AVERAGE('Rev &amp; Enroll'!Q24:V24)-F246</f>
        <v>270</v>
      </c>
      <c r="G242" s="616">
        <v>50</v>
      </c>
      <c r="H242" s="637">
        <f t="shared" ref="H242:H250" si="69">IF(J242="NO", F242*G242,SUM(J242:V242))</f>
        <v>13500</v>
      </c>
      <c r="J242" s="630" t="s">
        <v>543</v>
      </c>
      <c r="K242" s="611">
        <v>0</v>
      </c>
      <c r="L242" s="611">
        <v>0</v>
      </c>
      <c r="M242" s="611">
        <v>0</v>
      </c>
      <c r="N242" s="611">
        <f>F242*G242/2</f>
        <v>6750</v>
      </c>
      <c r="O242" s="611">
        <f>F242*G242/2</f>
        <v>6750</v>
      </c>
      <c r="P242" s="611">
        <v>0</v>
      </c>
      <c r="Q242" s="611">
        <v>0</v>
      </c>
      <c r="R242" s="611">
        <v>0</v>
      </c>
      <c r="S242" s="611">
        <v>0</v>
      </c>
      <c r="T242" s="611">
        <v>0</v>
      </c>
      <c r="U242" s="611">
        <v>0</v>
      </c>
      <c r="V242" s="611">
        <v>0</v>
      </c>
      <c r="W242" s="618">
        <f t="shared" ref="W242:W249" si="70">SUM(K242:V242)</f>
        <v>13500</v>
      </c>
      <c r="Y242" s="289"/>
      <c r="Z242" s="289"/>
    </row>
    <row r="243" spans="3:31" s="63" customFormat="1" ht="12" outlineLevel="1" x14ac:dyDescent="0.2">
      <c r="C243" s="64"/>
      <c r="D243" s="567" t="s">
        <v>259</v>
      </c>
      <c r="E243" s="568" t="s">
        <v>621</v>
      </c>
      <c r="F243" s="569">
        <f>AVERAGE('Rev &amp; Enroll'!W24:AB24)-F247</f>
        <v>270</v>
      </c>
      <c r="G243" s="616">
        <v>65</v>
      </c>
      <c r="H243" s="637">
        <f t="shared" si="69"/>
        <v>17550</v>
      </c>
      <c r="J243" s="630" t="s">
        <v>543</v>
      </c>
      <c r="K243" s="611">
        <v>0</v>
      </c>
      <c r="L243" s="611">
        <v>0</v>
      </c>
      <c r="M243" s="611">
        <v>0</v>
      </c>
      <c r="N243" s="611">
        <v>0</v>
      </c>
      <c r="O243" s="611">
        <v>0</v>
      </c>
      <c r="P243" s="611">
        <v>0</v>
      </c>
      <c r="Q243" s="611">
        <v>0</v>
      </c>
      <c r="R243" s="611">
        <v>0</v>
      </c>
      <c r="S243" s="611">
        <v>0</v>
      </c>
      <c r="T243" s="611">
        <f>F243*G243/2</f>
        <v>8775</v>
      </c>
      <c r="U243" s="611">
        <f>F243*G243/2</f>
        <v>8775</v>
      </c>
      <c r="V243" s="611">
        <v>0</v>
      </c>
      <c r="W243" s="618">
        <f t="shared" si="70"/>
        <v>17550</v>
      </c>
      <c r="Y243" s="289"/>
      <c r="Z243" s="289"/>
    </row>
    <row r="244" spans="3:31" s="63" customFormat="1" ht="12" outlineLevel="1" x14ac:dyDescent="0.2">
      <c r="C244" s="64"/>
      <c r="D244" s="567" t="s">
        <v>259</v>
      </c>
      <c r="E244" s="568" t="s">
        <v>622</v>
      </c>
      <c r="F244" s="569">
        <f>MAX('Rev &amp; Enroll'!Q24:AB24)-F248</f>
        <v>270</v>
      </c>
      <c r="G244" s="616">
        <v>50</v>
      </c>
      <c r="H244" s="637">
        <f t="shared" si="69"/>
        <v>13500</v>
      </c>
      <c r="J244" s="630" t="s">
        <v>542</v>
      </c>
      <c r="K244" s="611">
        <v>0</v>
      </c>
      <c r="L244" s="611">
        <v>0</v>
      </c>
      <c r="M244" s="611">
        <v>0</v>
      </c>
      <c r="N244" s="611">
        <f>F244*G244</f>
        <v>13500</v>
      </c>
      <c r="O244" s="611">
        <v>0</v>
      </c>
      <c r="P244" s="611">
        <v>0</v>
      </c>
      <c r="Q244" s="611">
        <v>0</v>
      </c>
      <c r="R244" s="611">
        <v>0</v>
      </c>
      <c r="S244" s="611">
        <v>0</v>
      </c>
      <c r="T244" s="611">
        <v>0</v>
      </c>
      <c r="U244" s="611">
        <v>0</v>
      </c>
      <c r="V244" s="611">
        <v>0</v>
      </c>
      <c r="W244" s="618">
        <f t="shared" si="70"/>
        <v>13500</v>
      </c>
      <c r="Y244" s="289"/>
      <c r="Z244" s="289"/>
    </row>
    <row r="245" spans="3:31" s="63" customFormat="1" ht="12" outlineLevel="1" x14ac:dyDescent="0.2">
      <c r="C245" s="64"/>
      <c r="D245" s="567" t="s">
        <v>259</v>
      </c>
      <c r="E245" s="568" t="s">
        <v>623</v>
      </c>
      <c r="F245" s="569">
        <f>'Rev &amp; Enroll'!F26</f>
        <v>70</v>
      </c>
      <c r="G245" s="616">
        <v>50</v>
      </c>
      <c r="H245" s="637">
        <f t="shared" si="69"/>
        <v>3500</v>
      </c>
      <c r="J245" s="630" t="s">
        <v>542</v>
      </c>
      <c r="K245" s="611">
        <v>0</v>
      </c>
      <c r="L245" s="611">
        <v>0</v>
      </c>
      <c r="M245" s="611">
        <v>0</v>
      </c>
      <c r="N245" s="611">
        <f>F245*G245</f>
        <v>3500</v>
      </c>
      <c r="O245" s="611">
        <v>0</v>
      </c>
      <c r="P245" s="611">
        <v>0</v>
      </c>
      <c r="Q245" s="611">
        <v>0</v>
      </c>
      <c r="R245" s="611">
        <v>0</v>
      </c>
      <c r="S245" s="611">
        <v>0</v>
      </c>
      <c r="T245" s="611">
        <v>0</v>
      </c>
      <c r="U245" s="611">
        <v>0</v>
      </c>
      <c r="V245" s="611">
        <v>0</v>
      </c>
      <c r="W245" s="618">
        <f t="shared" si="70"/>
        <v>3500</v>
      </c>
      <c r="Y245" s="289"/>
      <c r="Z245" s="289"/>
      <c r="AE245" s="610"/>
    </row>
    <row r="246" spans="3:31" s="63" customFormat="1" ht="12" outlineLevel="1" x14ac:dyDescent="0.2">
      <c r="C246" s="64"/>
      <c r="D246" s="598" t="s">
        <v>280</v>
      </c>
      <c r="E246" s="568" t="s">
        <v>624</v>
      </c>
      <c r="F246" s="569">
        <f>'Rev &amp; Enroll'!F30</f>
        <v>0</v>
      </c>
      <c r="G246" s="616">
        <v>50</v>
      </c>
      <c r="H246" s="637">
        <f t="shared" si="69"/>
        <v>0</v>
      </c>
      <c r="J246" s="630" t="s">
        <v>542</v>
      </c>
      <c r="K246" s="611">
        <v>0</v>
      </c>
      <c r="L246" s="611">
        <v>0</v>
      </c>
      <c r="M246" s="611">
        <v>0</v>
      </c>
      <c r="N246" s="611">
        <v>0</v>
      </c>
      <c r="O246" s="682">
        <f>F246*G246</f>
        <v>0</v>
      </c>
      <c r="P246" s="611">
        <v>0</v>
      </c>
      <c r="Q246" s="611">
        <v>0</v>
      </c>
      <c r="R246" s="611">
        <v>0</v>
      </c>
      <c r="S246" s="611">
        <v>0</v>
      </c>
      <c r="T246" s="611">
        <v>0</v>
      </c>
      <c r="U246" s="611">
        <v>0</v>
      </c>
      <c r="V246" s="611">
        <v>0</v>
      </c>
      <c r="W246" s="618">
        <f t="shared" si="70"/>
        <v>0</v>
      </c>
      <c r="Y246" s="289"/>
      <c r="Z246" s="289"/>
      <c r="AE246" s="610"/>
    </row>
    <row r="247" spans="3:31" s="63" customFormat="1" ht="12" outlineLevel="1" x14ac:dyDescent="0.2">
      <c r="C247" s="64"/>
      <c r="D247" s="598" t="s">
        <v>280</v>
      </c>
      <c r="E247" s="568" t="s">
        <v>625</v>
      </c>
      <c r="F247" s="569">
        <f>'Rev &amp; Enroll'!F30</f>
        <v>0</v>
      </c>
      <c r="G247" s="616">
        <v>65</v>
      </c>
      <c r="H247" s="637">
        <f t="shared" si="69"/>
        <v>0</v>
      </c>
      <c r="J247" s="630" t="s">
        <v>542</v>
      </c>
      <c r="K247" s="611">
        <v>0</v>
      </c>
      <c r="L247" s="611">
        <v>0</v>
      </c>
      <c r="M247" s="611">
        <v>0</v>
      </c>
      <c r="N247" s="611">
        <v>0</v>
      </c>
      <c r="O247" s="611">
        <v>0</v>
      </c>
      <c r="P247" s="611">
        <v>0</v>
      </c>
      <c r="Q247" s="611">
        <v>0</v>
      </c>
      <c r="R247" s="611">
        <v>0</v>
      </c>
      <c r="S247" s="611">
        <v>0</v>
      </c>
      <c r="T247" s="682">
        <f>F247*G247</f>
        <v>0</v>
      </c>
      <c r="U247" s="611">
        <v>0</v>
      </c>
      <c r="V247" s="611">
        <v>0</v>
      </c>
      <c r="W247" s="618">
        <f t="shared" si="70"/>
        <v>0</v>
      </c>
      <c r="Y247" s="289"/>
      <c r="Z247" s="289"/>
      <c r="AE247" s="610"/>
    </row>
    <row r="248" spans="3:31" s="63" customFormat="1" ht="12" outlineLevel="1" x14ac:dyDescent="0.2">
      <c r="C248" s="64"/>
      <c r="D248" s="598" t="s">
        <v>280</v>
      </c>
      <c r="E248" s="568" t="s">
        <v>626</v>
      </c>
      <c r="F248" s="569">
        <f>'Rev &amp; Enroll'!F30</f>
        <v>0</v>
      </c>
      <c r="G248" s="616">
        <v>50</v>
      </c>
      <c r="H248" s="637">
        <f t="shared" si="69"/>
        <v>0</v>
      </c>
      <c r="J248" s="630" t="s">
        <v>542</v>
      </c>
      <c r="K248" s="611">
        <v>0</v>
      </c>
      <c r="L248" s="611">
        <v>0</v>
      </c>
      <c r="M248" s="611">
        <v>0</v>
      </c>
      <c r="N248" s="611">
        <v>0</v>
      </c>
      <c r="O248" s="682">
        <f>F248*G248</f>
        <v>0</v>
      </c>
      <c r="P248" s="611">
        <v>0</v>
      </c>
      <c r="Q248" s="611">
        <v>0</v>
      </c>
      <c r="R248" s="611">
        <v>0</v>
      </c>
      <c r="S248" s="611">
        <v>0</v>
      </c>
      <c r="T248" s="611">
        <v>0</v>
      </c>
      <c r="U248" s="611">
        <v>0</v>
      </c>
      <c r="V248" s="611">
        <v>0</v>
      </c>
      <c r="W248" s="618">
        <f t="shared" si="70"/>
        <v>0</v>
      </c>
      <c r="Y248" s="289"/>
      <c r="Z248" s="289"/>
      <c r="AE248" s="610"/>
    </row>
    <row r="249" spans="3:31" s="63" customFormat="1" ht="12" outlineLevel="1" x14ac:dyDescent="0.2">
      <c r="C249" s="64"/>
      <c r="D249" s="598" t="s">
        <v>280</v>
      </c>
      <c r="E249" s="568" t="s">
        <v>626</v>
      </c>
      <c r="F249" s="569">
        <f>'Rev &amp; Enroll'!F30</f>
        <v>0</v>
      </c>
      <c r="G249" s="616">
        <v>50</v>
      </c>
      <c r="H249" s="637">
        <f t="shared" si="69"/>
        <v>0</v>
      </c>
      <c r="J249" s="630" t="s">
        <v>542</v>
      </c>
      <c r="K249" s="611">
        <v>0</v>
      </c>
      <c r="L249" s="611">
        <v>0</v>
      </c>
      <c r="M249" s="611">
        <v>0</v>
      </c>
      <c r="N249" s="611">
        <v>0</v>
      </c>
      <c r="O249" s="611">
        <v>0</v>
      </c>
      <c r="P249" s="611">
        <v>0</v>
      </c>
      <c r="Q249" s="611">
        <v>0</v>
      </c>
      <c r="R249" s="611">
        <v>0</v>
      </c>
      <c r="S249" s="611">
        <v>0</v>
      </c>
      <c r="T249" s="682">
        <f>F249*G249</f>
        <v>0</v>
      </c>
      <c r="U249" s="611">
        <v>0</v>
      </c>
      <c r="V249" s="611">
        <v>0</v>
      </c>
      <c r="W249" s="618">
        <f t="shared" si="70"/>
        <v>0</v>
      </c>
      <c r="Y249" s="289"/>
      <c r="Z249" s="289"/>
      <c r="AE249" s="610"/>
    </row>
    <row r="250" spans="3:31" s="63" customFormat="1" ht="12" outlineLevel="1" x14ac:dyDescent="0.2">
      <c r="C250" s="64"/>
      <c r="D250" s="595" t="s">
        <v>258</v>
      </c>
      <c r="E250" s="596"/>
      <c r="F250" s="597">
        <v>0</v>
      </c>
      <c r="G250" s="614">
        <v>0</v>
      </c>
      <c r="H250" s="618">
        <f t="shared" si="69"/>
        <v>0</v>
      </c>
      <c r="J250" s="631" t="s">
        <v>542</v>
      </c>
      <c r="K250" s="614">
        <f t="shared" ref="K250:V250" si="71">$F250*$G250/12</f>
        <v>0</v>
      </c>
      <c r="L250" s="614">
        <f t="shared" si="71"/>
        <v>0</v>
      </c>
      <c r="M250" s="614">
        <f t="shared" si="71"/>
        <v>0</v>
      </c>
      <c r="N250" s="614">
        <f t="shared" si="71"/>
        <v>0</v>
      </c>
      <c r="O250" s="614">
        <f t="shared" si="71"/>
        <v>0</v>
      </c>
      <c r="P250" s="614">
        <f t="shared" si="71"/>
        <v>0</v>
      </c>
      <c r="Q250" s="614">
        <f t="shared" si="71"/>
        <v>0</v>
      </c>
      <c r="R250" s="614">
        <f t="shared" si="71"/>
        <v>0</v>
      </c>
      <c r="S250" s="614">
        <f t="shared" si="71"/>
        <v>0</v>
      </c>
      <c r="T250" s="614">
        <f t="shared" si="71"/>
        <v>0</v>
      </c>
      <c r="U250" s="614">
        <f t="shared" si="71"/>
        <v>0</v>
      </c>
      <c r="V250" s="614">
        <f t="shared" si="71"/>
        <v>0</v>
      </c>
      <c r="W250" s="637">
        <f t="shared" ref="W250" si="72">SUM(K250:V250)</f>
        <v>0</v>
      </c>
      <c r="Y250" s="289"/>
      <c r="Z250" s="289"/>
    </row>
    <row r="251" spans="3:31" s="63" customFormat="1" ht="3.6" customHeight="1" outlineLevel="1" thickBot="1" x14ac:dyDescent="0.25">
      <c r="C251" s="64"/>
      <c r="D251" s="296"/>
      <c r="E251" s="302"/>
      <c r="F251" s="283"/>
      <c r="G251" s="619"/>
      <c r="H251" s="555"/>
      <c r="J251" s="627"/>
      <c r="K251" s="562"/>
      <c r="L251" s="562"/>
      <c r="M251" s="562"/>
      <c r="N251" s="562"/>
      <c r="O251" s="562"/>
      <c r="P251" s="562"/>
      <c r="Q251" s="562"/>
      <c r="R251" s="562"/>
      <c r="S251" s="562"/>
      <c r="T251" s="562"/>
      <c r="U251" s="562"/>
      <c r="V251" s="562"/>
      <c r="W251" s="555"/>
      <c r="Y251" s="289"/>
      <c r="Z251" s="289"/>
    </row>
    <row r="252" spans="3:31" s="63" customFormat="1" ht="12.75" thickBot="1" x14ac:dyDescent="0.25">
      <c r="C252" s="64"/>
      <c r="D252" s="294"/>
      <c r="E252" s="301"/>
      <c r="F252" s="284" t="str">
        <f>E241</f>
        <v xml:space="preserve">Textbooks </v>
      </c>
      <c r="G252" s="679">
        <f>C241</f>
        <v>6641</v>
      </c>
      <c r="H252" s="556">
        <f>SUBTOTAL(9,H242:H251)</f>
        <v>48050</v>
      </c>
      <c r="J252" s="629"/>
      <c r="K252" s="623">
        <f t="shared" ref="K252:W252" si="73">SUBTOTAL(9,K242:K251)</f>
        <v>0</v>
      </c>
      <c r="L252" s="623">
        <f t="shared" si="73"/>
        <v>0</v>
      </c>
      <c r="M252" s="623">
        <f t="shared" si="73"/>
        <v>0</v>
      </c>
      <c r="N252" s="623">
        <f t="shared" si="73"/>
        <v>23750</v>
      </c>
      <c r="O252" s="623">
        <f t="shared" si="73"/>
        <v>6750</v>
      </c>
      <c r="P252" s="623">
        <f t="shared" si="73"/>
        <v>0</v>
      </c>
      <c r="Q252" s="623">
        <f t="shared" si="73"/>
        <v>0</v>
      </c>
      <c r="R252" s="623">
        <f t="shared" si="73"/>
        <v>0</v>
      </c>
      <c r="S252" s="623">
        <f t="shared" si="73"/>
        <v>0</v>
      </c>
      <c r="T252" s="623">
        <f t="shared" si="73"/>
        <v>8775</v>
      </c>
      <c r="U252" s="623">
        <f t="shared" si="73"/>
        <v>8775</v>
      </c>
      <c r="V252" s="623">
        <f t="shared" si="73"/>
        <v>0</v>
      </c>
      <c r="W252" s="556">
        <f t="shared" si="73"/>
        <v>48050</v>
      </c>
      <c r="X252" s="63" t="str">
        <f>IF(H252=W252,"OK","Error")</f>
        <v>OK</v>
      </c>
      <c r="Y252" s="289">
        <v>0</v>
      </c>
      <c r="Z252" s="289">
        <f>H252-Y252</f>
        <v>48050</v>
      </c>
    </row>
    <row r="253" spans="3:31" s="63" customFormat="1" ht="12" outlineLevel="1" x14ac:dyDescent="0.2">
      <c r="C253" s="64"/>
      <c r="D253" s="294"/>
      <c r="E253" s="301"/>
      <c r="F253" s="281"/>
      <c r="G253" s="678"/>
      <c r="H253" s="552"/>
      <c r="J253" s="622"/>
      <c r="K253" s="560"/>
      <c r="L253" s="560"/>
      <c r="M253" s="560"/>
      <c r="N253" s="560"/>
      <c r="O253" s="560"/>
      <c r="P253" s="560"/>
      <c r="Q253" s="560"/>
      <c r="R253" s="560"/>
      <c r="S253" s="560"/>
      <c r="T253" s="560"/>
      <c r="U253" s="560"/>
      <c r="V253" s="560"/>
      <c r="W253" s="552"/>
      <c r="Y253" s="289"/>
      <c r="Z253" s="289"/>
    </row>
    <row r="254" spans="3:31" s="63" customFormat="1" ht="12" outlineLevel="1" x14ac:dyDescent="0.2">
      <c r="C254" s="208">
        <v>6642</v>
      </c>
      <c r="D254" s="294"/>
      <c r="E254" s="301" t="s">
        <v>38</v>
      </c>
      <c r="F254" s="281"/>
      <c r="G254" s="678"/>
      <c r="H254" s="552"/>
      <c r="J254" s="622"/>
      <c r="K254" s="560"/>
      <c r="L254" s="560"/>
      <c r="M254" s="560"/>
      <c r="N254" s="560"/>
      <c r="O254" s="560"/>
      <c r="P254" s="560"/>
      <c r="Q254" s="560"/>
      <c r="R254" s="560"/>
      <c r="S254" s="560"/>
      <c r="T254" s="560"/>
      <c r="U254" s="560"/>
      <c r="V254" s="560"/>
      <c r="W254" s="552"/>
      <c r="Y254" s="289"/>
      <c r="Z254" s="289"/>
    </row>
    <row r="255" spans="3:31" s="63" customFormat="1" ht="12" outlineLevel="1" x14ac:dyDescent="0.2">
      <c r="C255" s="64"/>
      <c r="D255" s="574" t="s">
        <v>259</v>
      </c>
      <c r="E255" s="575" t="s">
        <v>627</v>
      </c>
      <c r="F255" s="569">
        <f>AVERAGE('Rev &amp; Enroll'!Q24:V24)-F257</f>
        <v>270</v>
      </c>
      <c r="G255" s="616">
        <v>100</v>
      </c>
      <c r="H255" s="637">
        <f>IF(J255="NO", F255*G255,SUM(J255:V255))</f>
        <v>27000</v>
      </c>
      <c r="J255" s="630" t="s">
        <v>542</v>
      </c>
      <c r="K255" s="611">
        <v>0</v>
      </c>
      <c r="L255" s="611">
        <v>0</v>
      </c>
      <c r="M255" s="611">
        <v>0</v>
      </c>
      <c r="N255" s="611">
        <f>F255*G255/2</f>
        <v>13500</v>
      </c>
      <c r="O255" s="611">
        <f>F255*G255/2</f>
        <v>13500</v>
      </c>
      <c r="P255" s="611">
        <v>0</v>
      </c>
      <c r="Q255" s="611">
        <v>0</v>
      </c>
      <c r="R255" s="611">
        <v>0</v>
      </c>
      <c r="S255" s="611">
        <v>0</v>
      </c>
      <c r="T255" s="611">
        <v>0</v>
      </c>
      <c r="U255" s="611">
        <v>0</v>
      </c>
      <c r="V255" s="611">
        <v>0</v>
      </c>
      <c r="W255" s="618">
        <f>SUM(K255:V255)</f>
        <v>27000</v>
      </c>
      <c r="Y255" s="289"/>
      <c r="Z255" s="289"/>
    </row>
    <row r="256" spans="3:31" s="63" customFormat="1" ht="12" outlineLevel="1" x14ac:dyDescent="0.2">
      <c r="C256" s="64"/>
      <c r="D256" s="574" t="s">
        <v>259</v>
      </c>
      <c r="E256" s="575" t="s">
        <v>630</v>
      </c>
      <c r="F256" s="569">
        <f>AVERAGE('Rev &amp; Enroll'!W24:AB24)-F258</f>
        <v>270</v>
      </c>
      <c r="G256" s="616">
        <v>135</v>
      </c>
      <c r="H256" s="637">
        <f>IF(J256="NO", F256*G256,SUM(J256:V256))</f>
        <v>36450</v>
      </c>
      <c r="J256" s="630" t="s">
        <v>542</v>
      </c>
      <c r="K256" s="611">
        <v>0</v>
      </c>
      <c r="L256" s="611">
        <v>0</v>
      </c>
      <c r="M256" s="611">
        <v>0</v>
      </c>
      <c r="N256" s="611">
        <v>0</v>
      </c>
      <c r="O256" s="611">
        <v>0</v>
      </c>
      <c r="P256" s="611">
        <v>0</v>
      </c>
      <c r="Q256" s="611">
        <v>0</v>
      </c>
      <c r="R256" s="611">
        <v>0</v>
      </c>
      <c r="S256" s="611">
        <v>0</v>
      </c>
      <c r="T256" s="611">
        <f>F256*G256/2</f>
        <v>18225</v>
      </c>
      <c r="U256" s="611">
        <f>F256*G256/2</f>
        <v>18225</v>
      </c>
      <c r="V256" s="611">
        <v>0</v>
      </c>
      <c r="W256" s="618">
        <f>SUM(K256:V256)</f>
        <v>36450</v>
      </c>
      <c r="Y256" s="289"/>
      <c r="Z256" s="289"/>
    </row>
    <row r="257" spans="3:26" s="63" customFormat="1" ht="12" outlineLevel="1" x14ac:dyDescent="0.2">
      <c r="C257" s="64"/>
      <c r="D257" s="598" t="s">
        <v>280</v>
      </c>
      <c r="E257" s="568" t="s">
        <v>631</v>
      </c>
      <c r="F257" s="569">
        <f>'Rev &amp; Enroll'!F30</f>
        <v>0</v>
      </c>
      <c r="G257" s="616">
        <v>100</v>
      </c>
      <c r="H257" s="637">
        <f>IF(J257="NO", F257*G257,SUM(J257:V257))</f>
        <v>0</v>
      </c>
      <c r="J257" s="630" t="s">
        <v>542</v>
      </c>
      <c r="K257" s="611">
        <v>0</v>
      </c>
      <c r="L257" s="611">
        <v>0</v>
      </c>
      <c r="M257" s="611">
        <v>0</v>
      </c>
      <c r="N257" s="611">
        <v>0</v>
      </c>
      <c r="O257" s="682">
        <f>F257*G257</f>
        <v>0</v>
      </c>
      <c r="P257" s="611">
        <v>0</v>
      </c>
      <c r="Q257" s="611">
        <v>0</v>
      </c>
      <c r="R257" s="611">
        <v>0</v>
      </c>
      <c r="S257" s="611">
        <v>0</v>
      </c>
      <c r="T257" s="611">
        <v>0</v>
      </c>
      <c r="U257" s="611">
        <v>0</v>
      </c>
      <c r="V257" s="611">
        <v>0</v>
      </c>
      <c r="W257" s="618">
        <f>SUM(K257:V257)</f>
        <v>0</v>
      </c>
      <c r="Y257" s="289"/>
      <c r="Z257" s="289"/>
    </row>
    <row r="258" spans="3:26" s="63" customFormat="1" ht="12" outlineLevel="1" x14ac:dyDescent="0.2">
      <c r="C258" s="64"/>
      <c r="D258" s="598" t="s">
        <v>280</v>
      </c>
      <c r="E258" s="568" t="s">
        <v>632</v>
      </c>
      <c r="F258" s="569">
        <f>'Rev &amp; Enroll'!F30</f>
        <v>0</v>
      </c>
      <c r="G258" s="616">
        <v>135</v>
      </c>
      <c r="H258" s="637">
        <f>IF(J258="NO", F258*G258,SUM(J258:V258))</f>
        <v>0</v>
      </c>
      <c r="J258" s="630" t="s">
        <v>542</v>
      </c>
      <c r="K258" s="611">
        <v>0</v>
      </c>
      <c r="L258" s="611">
        <v>0</v>
      </c>
      <c r="M258" s="611">
        <v>0</v>
      </c>
      <c r="N258" s="611">
        <v>0</v>
      </c>
      <c r="O258" s="611">
        <v>0</v>
      </c>
      <c r="P258" s="611">
        <v>0</v>
      </c>
      <c r="Q258" s="611">
        <v>0</v>
      </c>
      <c r="R258" s="611">
        <v>0</v>
      </c>
      <c r="S258" s="611">
        <v>0</v>
      </c>
      <c r="T258" s="682">
        <f>F258*G258</f>
        <v>0</v>
      </c>
      <c r="U258" s="611">
        <v>0</v>
      </c>
      <c r="V258" s="611">
        <v>0</v>
      </c>
      <c r="W258" s="618">
        <f>SUM(K258:V258)</f>
        <v>0</v>
      </c>
      <c r="Y258" s="289"/>
      <c r="Z258" s="289"/>
    </row>
    <row r="259" spans="3:26" s="63" customFormat="1" ht="12" outlineLevel="1" x14ac:dyDescent="0.2">
      <c r="C259" s="64"/>
      <c r="D259" s="599" t="s">
        <v>258</v>
      </c>
      <c r="E259" s="600"/>
      <c r="F259" s="597">
        <v>0</v>
      </c>
      <c r="G259" s="614">
        <v>0</v>
      </c>
      <c r="H259" s="618">
        <f>IF(J259="NO", F259*G259,SUM(J259:V259))</f>
        <v>0</v>
      </c>
      <c r="J259" s="631" t="s">
        <v>542</v>
      </c>
      <c r="K259" s="614">
        <f t="shared" ref="K259:V259" si="74">$F259*$G259/12</f>
        <v>0</v>
      </c>
      <c r="L259" s="614">
        <f t="shared" si="74"/>
        <v>0</v>
      </c>
      <c r="M259" s="614">
        <f t="shared" si="74"/>
        <v>0</v>
      </c>
      <c r="N259" s="614">
        <f t="shared" si="74"/>
        <v>0</v>
      </c>
      <c r="O259" s="614">
        <f t="shared" si="74"/>
        <v>0</v>
      </c>
      <c r="P259" s="614">
        <f t="shared" si="74"/>
        <v>0</v>
      </c>
      <c r="Q259" s="614">
        <f t="shared" si="74"/>
        <v>0</v>
      </c>
      <c r="R259" s="614">
        <f t="shared" si="74"/>
        <v>0</v>
      </c>
      <c r="S259" s="614">
        <f t="shared" si="74"/>
        <v>0</v>
      </c>
      <c r="T259" s="614">
        <f t="shared" si="74"/>
        <v>0</v>
      </c>
      <c r="U259" s="614">
        <f t="shared" si="74"/>
        <v>0</v>
      </c>
      <c r="V259" s="614">
        <f t="shared" si="74"/>
        <v>0</v>
      </c>
      <c r="W259" s="637">
        <f>SUM(K259:V259)</f>
        <v>0</v>
      </c>
      <c r="Y259" s="289"/>
      <c r="Z259" s="289"/>
    </row>
    <row r="260" spans="3:26" s="63" customFormat="1" ht="3.6" customHeight="1" outlineLevel="1" thickBot="1" x14ac:dyDescent="0.25">
      <c r="C260" s="64"/>
      <c r="D260" s="296"/>
      <c r="E260" s="302"/>
      <c r="F260" s="283"/>
      <c r="G260" s="619"/>
      <c r="H260" s="555"/>
      <c r="J260" s="627"/>
      <c r="K260" s="562"/>
      <c r="L260" s="562"/>
      <c r="M260" s="562"/>
      <c r="N260" s="562"/>
      <c r="O260" s="562"/>
      <c r="P260" s="562"/>
      <c r="Q260" s="562"/>
      <c r="R260" s="562"/>
      <c r="S260" s="562"/>
      <c r="T260" s="562"/>
      <c r="U260" s="562"/>
      <c r="V260" s="562"/>
      <c r="W260" s="555"/>
      <c r="Y260" s="289"/>
      <c r="Z260" s="289"/>
    </row>
    <row r="261" spans="3:26" s="63" customFormat="1" ht="12.75" thickBot="1" x14ac:dyDescent="0.25">
      <c r="C261" s="64"/>
      <c r="D261" s="294"/>
      <c r="E261" s="301"/>
      <c r="F261" s="284" t="str">
        <f>E254</f>
        <v>Classroom Technology Fees</v>
      </c>
      <c r="G261" s="679">
        <f>C254</f>
        <v>6642</v>
      </c>
      <c r="H261" s="556">
        <f>SUBTOTAL(9,H255:H260)</f>
        <v>63450</v>
      </c>
      <c r="J261" s="629"/>
      <c r="K261" s="623">
        <f t="shared" ref="K261:W261" si="75">SUBTOTAL(9,K255:K260)</f>
        <v>0</v>
      </c>
      <c r="L261" s="623">
        <f t="shared" si="75"/>
        <v>0</v>
      </c>
      <c r="M261" s="623">
        <f t="shared" si="75"/>
        <v>0</v>
      </c>
      <c r="N261" s="623">
        <f t="shared" si="75"/>
        <v>13500</v>
      </c>
      <c r="O261" s="623">
        <f t="shared" si="75"/>
        <v>13500</v>
      </c>
      <c r="P261" s="623">
        <f t="shared" si="75"/>
        <v>0</v>
      </c>
      <c r="Q261" s="623">
        <f t="shared" si="75"/>
        <v>0</v>
      </c>
      <c r="R261" s="623">
        <f t="shared" si="75"/>
        <v>0</v>
      </c>
      <c r="S261" s="623">
        <f t="shared" si="75"/>
        <v>0</v>
      </c>
      <c r="T261" s="623">
        <f t="shared" si="75"/>
        <v>18225</v>
      </c>
      <c r="U261" s="623">
        <f t="shared" si="75"/>
        <v>18225</v>
      </c>
      <c r="V261" s="623">
        <f t="shared" si="75"/>
        <v>0</v>
      </c>
      <c r="W261" s="556">
        <f t="shared" si="75"/>
        <v>63450</v>
      </c>
      <c r="X261" s="63" t="str">
        <f>IF(H261=W261,"OK","Error")</f>
        <v>OK</v>
      </c>
      <c r="Y261" s="289">
        <v>0</v>
      </c>
      <c r="Z261" s="289">
        <f>H261-Y261</f>
        <v>63450</v>
      </c>
    </row>
    <row r="262" spans="3:26" s="63" customFormat="1" ht="12" outlineLevel="1" x14ac:dyDescent="0.2">
      <c r="C262" s="64"/>
      <c r="D262" s="294"/>
      <c r="E262" s="301"/>
      <c r="F262" s="281"/>
      <c r="G262" s="678"/>
      <c r="H262" s="552"/>
      <c r="J262" s="622"/>
      <c r="K262" s="560"/>
      <c r="L262" s="560"/>
      <c r="M262" s="560"/>
      <c r="N262" s="560"/>
      <c r="O262" s="560"/>
      <c r="P262" s="560"/>
      <c r="Q262" s="560"/>
      <c r="R262" s="560"/>
      <c r="S262" s="560"/>
      <c r="T262" s="560"/>
      <c r="U262" s="560"/>
      <c r="V262" s="560"/>
      <c r="W262" s="552"/>
      <c r="Y262" s="289"/>
      <c r="Z262" s="289"/>
    </row>
    <row r="263" spans="3:26" s="63" customFormat="1" ht="12" outlineLevel="1" x14ac:dyDescent="0.2">
      <c r="C263" s="208">
        <v>6651</v>
      </c>
      <c r="D263" s="294"/>
      <c r="E263" s="301" t="s">
        <v>39</v>
      </c>
      <c r="F263" s="281"/>
      <c r="G263" s="678"/>
      <c r="H263" s="552"/>
      <c r="J263" s="622"/>
      <c r="K263" s="560"/>
      <c r="L263" s="560"/>
      <c r="M263" s="560"/>
      <c r="N263" s="560"/>
      <c r="O263" s="560"/>
      <c r="P263" s="560"/>
      <c r="Q263" s="560"/>
      <c r="R263" s="560"/>
      <c r="S263" s="560"/>
      <c r="T263" s="560"/>
      <c r="U263" s="560"/>
      <c r="V263" s="560"/>
      <c r="W263" s="552"/>
      <c r="Y263" s="289"/>
      <c r="Z263" s="289"/>
    </row>
    <row r="264" spans="3:26" s="63" customFormat="1" ht="12" outlineLevel="1" x14ac:dyDescent="0.2">
      <c r="C264" s="64"/>
      <c r="D264" s="595" t="s">
        <v>258</v>
      </c>
      <c r="E264" s="596"/>
      <c r="F264" s="597">
        <v>0</v>
      </c>
      <c r="G264" s="614">
        <v>0</v>
      </c>
      <c r="H264" s="618">
        <f t="shared" ref="H264" si="76">IF(J264="NO", F264*G264,SUM(J264:V264))</f>
        <v>0</v>
      </c>
      <c r="J264" s="631" t="s">
        <v>542</v>
      </c>
      <c r="K264" s="614">
        <f t="shared" ref="K264:V268" si="77">$F264*$G264/12</f>
        <v>0</v>
      </c>
      <c r="L264" s="614">
        <f t="shared" si="77"/>
        <v>0</v>
      </c>
      <c r="M264" s="614">
        <f t="shared" si="77"/>
        <v>0</v>
      </c>
      <c r="N264" s="614">
        <f t="shared" si="77"/>
        <v>0</v>
      </c>
      <c r="O264" s="614">
        <f t="shared" si="77"/>
        <v>0</v>
      </c>
      <c r="P264" s="614">
        <f t="shared" si="77"/>
        <v>0</v>
      </c>
      <c r="Q264" s="614">
        <f t="shared" si="77"/>
        <v>0</v>
      </c>
      <c r="R264" s="614">
        <f t="shared" si="77"/>
        <v>0</v>
      </c>
      <c r="S264" s="614">
        <f t="shared" si="77"/>
        <v>0</v>
      </c>
      <c r="T264" s="614">
        <f t="shared" si="77"/>
        <v>0</v>
      </c>
      <c r="U264" s="614">
        <f t="shared" si="77"/>
        <v>0</v>
      </c>
      <c r="V264" s="614">
        <f t="shared" si="77"/>
        <v>0</v>
      </c>
      <c r="W264" s="637">
        <f t="shared" ref="W264" si="78">SUM(K264:V264)</f>
        <v>0</v>
      </c>
      <c r="Y264" s="289"/>
      <c r="Z264" s="289"/>
    </row>
    <row r="265" spans="3:26" s="63" customFormat="1" ht="12" outlineLevel="1" x14ac:dyDescent="0.2">
      <c r="C265" s="64"/>
      <c r="D265" s="595" t="s">
        <v>258</v>
      </c>
      <c r="E265" s="596"/>
      <c r="F265" s="597">
        <v>0</v>
      </c>
      <c r="G265" s="614">
        <v>0</v>
      </c>
      <c r="H265" s="618">
        <f t="shared" ref="H265:H268" si="79">IF(J265="NO", F265*G265,SUM(J265:V265))</f>
        <v>0</v>
      </c>
      <c r="J265" s="631" t="s">
        <v>542</v>
      </c>
      <c r="K265" s="614">
        <f t="shared" si="77"/>
        <v>0</v>
      </c>
      <c r="L265" s="614">
        <f t="shared" si="77"/>
        <v>0</v>
      </c>
      <c r="M265" s="614">
        <f t="shared" si="77"/>
        <v>0</v>
      </c>
      <c r="N265" s="614">
        <f t="shared" si="77"/>
        <v>0</v>
      </c>
      <c r="O265" s="614">
        <f t="shared" si="77"/>
        <v>0</v>
      </c>
      <c r="P265" s="614">
        <f t="shared" si="77"/>
        <v>0</v>
      </c>
      <c r="Q265" s="614">
        <f t="shared" si="77"/>
        <v>0</v>
      </c>
      <c r="R265" s="614">
        <f t="shared" si="77"/>
        <v>0</v>
      </c>
      <c r="S265" s="614">
        <f t="shared" si="77"/>
        <v>0</v>
      </c>
      <c r="T265" s="614">
        <f t="shared" si="77"/>
        <v>0</v>
      </c>
      <c r="U265" s="614">
        <f t="shared" si="77"/>
        <v>0</v>
      </c>
      <c r="V265" s="614">
        <f t="shared" si="77"/>
        <v>0</v>
      </c>
      <c r="W265" s="637">
        <f t="shared" ref="W265:W268" si="80">SUM(K265:V265)</f>
        <v>0</v>
      </c>
      <c r="Y265" s="289"/>
      <c r="Z265" s="289"/>
    </row>
    <row r="266" spans="3:26" s="63" customFormat="1" ht="12" outlineLevel="1" x14ac:dyDescent="0.2">
      <c r="C266" s="64"/>
      <c r="D266" s="595" t="s">
        <v>258</v>
      </c>
      <c r="E266" s="596"/>
      <c r="F266" s="597">
        <v>0</v>
      </c>
      <c r="G266" s="614">
        <v>0</v>
      </c>
      <c r="H266" s="618">
        <f t="shared" si="79"/>
        <v>0</v>
      </c>
      <c r="J266" s="631" t="s">
        <v>542</v>
      </c>
      <c r="K266" s="614">
        <f t="shared" si="77"/>
        <v>0</v>
      </c>
      <c r="L266" s="614">
        <f t="shared" si="77"/>
        <v>0</v>
      </c>
      <c r="M266" s="614">
        <f t="shared" si="77"/>
        <v>0</v>
      </c>
      <c r="N266" s="614">
        <f t="shared" si="77"/>
        <v>0</v>
      </c>
      <c r="O266" s="614">
        <f t="shared" si="77"/>
        <v>0</v>
      </c>
      <c r="P266" s="614">
        <f t="shared" si="77"/>
        <v>0</v>
      </c>
      <c r="Q266" s="614">
        <f t="shared" si="77"/>
        <v>0</v>
      </c>
      <c r="R266" s="614">
        <f t="shared" si="77"/>
        <v>0</v>
      </c>
      <c r="S266" s="614">
        <f t="shared" si="77"/>
        <v>0</v>
      </c>
      <c r="T266" s="614">
        <f t="shared" si="77"/>
        <v>0</v>
      </c>
      <c r="U266" s="614">
        <f t="shared" si="77"/>
        <v>0</v>
      </c>
      <c r="V266" s="614">
        <f t="shared" si="77"/>
        <v>0</v>
      </c>
      <c r="W266" s="637">
        <f t="shared" si="80"/>
        <v>0</v>
      </c>
      <c r="Y266" s="289"/>
      <c r="Z266" s="289"/>
    </row>
    <row r="267" spans="3:26" s="63" customFormat="1" ht="12" outlineLevel="1" x14ac:dyDescent="0.2">
      <c r="C267" s="64"/>
      <c r="D267" s="595" t="s">
        <v>258</v>
      </c>
      <c r="E267" s="596"/>
      <c r="F267" s="597">
        <v>0</v>
      </c>
      <c r="G267" s="614">
        <v>0</v>
      </c>
      <c r="H267" s="618">
        <f t="shared" si="79"/>
        <v>0</v>
      </c>
      <c r="J267" s="631" t="s">
        <v>542</v>
      </c>
      <c r="K267" s="614">
        <f t="shared" si="77"/>
        <v>0</v>
      </c>
      <c r="L267" s="614">
        <f t="shared" si="77"/>
        <v>0</v>
      </c>
      <c r="M267" s="614">
        <f t="shared" si="77"/>
        <v>0</v>
      </c>
      <c r="N267" s="614">
        <f t="shared" si="77"/>
        <v>0</v>
      </c>
      <c r="O267" s="614">
        <f t="shared" si="77"/>
        <v>0</v>
      </c>
      <c r="P267" s="614">
        <f t="shared" si="77"/>
        <v>0</v>
      </c>
      <c r="Q267" s="614">
        <f t="shared" si="77"/>
        <v>0</v>
      </c>
      <c r="R267" s="614">
        <f t="shared" si="77"/>
        <v>0</v>
      </c>
      <c r="S267" s="614">
        <f t="shared" si="77"/>
        <v>0</v>
      </c>
      <c r="T267" s="614">
        <f t="shared" si="77"/>
        <v>0</v>
      </c>
      <c r="U267" s="614">
        <f t="shared" si="77"/>
        <v>0</v>
      </c>
      <c r="V267" s="614">
        <f t="shared" si="77"/>
        <v>0</v>
      </c>
      <c r="W267" s="637">
        <f t="shared" si="80"/>
        <v>0</v>
      </c>
      <c r="Y267" s="289"/>
      <c r="Z267" s="289"/>
    </row>
    <row r="268" spans="3:26" s="63" customFormat="1" ht="12" outlineLevel="1" x14ac:dyDescent="0.2">
      <c r="C268" s="64"/>
      <c r="D268" s="595" t="s">
        <v>258</v>
      </c>
      <c r="E268" s="596"/>
      <c r="F268" s="597">
        <v>0</v>
      </c>
      <c r="G268" s="614">
        <v>0</v>
      </c>
      <c r="H268" s="618">
        <f t="shared" si="79"/>
        <v>0</v>
      </c>
      <c r="J268" s="631" t="s">
        <v>542</v>
      </c>
      <c r="K268" s="614">
        <f t="shared" si="77"/>
        <v>0</v>
      </c>
      <c r="L268" s="614">
        <f t="shared" si="77"/>
        <v>0</v>
      </c>
      <c r="M268" s="614">
        <f t="shared" si="77"/>
        <v>0</v>
      </c>
      <c r="N268" s="614">
        <f t="shared" si="77"/>
        <v>0</v>
      </c>
      <c r="O268" s="614">
        <f t="shared" si="77"/>
        <v>0</v>
      </c>
      <c r="P268" s="614">
        <f t="shared" si="77"/>
        <v>0</v>
      </c>
      <c r="Q268" s="614">
        <f t="shared" si="77"/>
        <v>0</v>
      </c>
      <c r="R268" s="614">
        <f t="shared" si="77"/>
        <v>0</v>
      </c>
      <c r="S268" s="614">
        <f t="shared" si="77"/>
        <v>0</v>
      </c>
      <c r="T268" s="614">
        <f t="shared" si="77"/>
        <v>0</v>
      </c>
      <c r="U268" s="614">
        <f t="shared" si="77"/>
        <v>0</v>
      </c>
      <c r="V268" s="614">
        <f t="shared" si="77"/>
        <v>0</v>
      </c>
      <c r="W268" s="637">
        <f t="shared" si="80"/>
        <v>0</v>
      </c>
      <c r="Y268" s="289"/>
      <c r="Z268" s="289"/>
    </row>
    <row r="269" spans="3:26" s="63" customFormat="1" ht="3.6" customHeight="1" outlineLevel="1" thickBot="1" x14ac:dyDescent="0.25">
      <c r="C269" s="64"/>
      <c r="D269" s="296"/>
      <c r="E269" s="302"/>
      <c r="F269" s="283"/>
      <c r="G269" s="619"/>
      <c r="H269" s="555"/>
      <c r="J269" s="627"/>
      <c r="K269" s="562"/>
      <c r="L269" s="562"/>
      <c r="M269" s="562"/>
      <c r="N269" s="562"/>
      <c r="O269" s="562"/>
      <c r="P269" s="562"/>
      <c r="Q269" s="562"/>
      <c r="R269" s="562"/>
      <c r="S269" s="562"/>
      <c r="T269" s="562"/>
      <c r="U269" s="562"/>
      <c r="V269" s="562"/>
      <c r="W269" s="555"/>
      <c r="Y269" s="289"/>
      <c r="Z269" s="289"/>
    </row>
    <row r="270" spans="3:26" s="63" customFormat="1" ht="12.75" thickBot="1" x14ac:dyDescent="0.25">
      <c r="C270" s="64"/>
      <c r="D270" s="294"/>
      <c r="E270" s="301"/>
      <c r="F270" s="284" t="str">
        <f>E263</f>
        <v>Supplies -Tech -Software</v>
      </c>
      <c r="G270" s="679">
        <f>C263</f>
        <v>6651</v>
      </c>
      <c r="H270" s="556">
        <f>SUBTOTAL(9,H264:H269)</f>
        <v>0</v>
      </c>
      <c r="J270" s="629"/>
      <c r="K270" s="623">
        <f>SUBTOTAL(9,K264:K269)</f>
        <v>0</v>
      </c>
      <c r="L270" s="623">
        <f t="shared" ref="L270" si="81">SUBTOTAL(9,L264:L269)</f>
        <v>0</v>
      </c>
      <c r="M270" s="623">
        <f t="shared" ref="M270" si="82">SUBTOTAL(9,M264:M269)</f>
        <v>0</v>
      </c>
      <c r="N270" s="623">
        <f t="shared" ref="N270" si="83">SUBTOTAL(9,N264:N269)</f>
        <v>0</v>
      </c>
      <c r="O270" s="623">
        <f t="shared" ref="O270" si="84">SUBTOTAL(9,O264:O269)</f>
        <v>0</v>
      </c>
      <c r="P270" s="623">
        <f t="shared" ref="P270" si="85">SUBTOTAL(9,P264:P269)</f>
        <v>0</v>
      </c>
      <c r="Q270" s="623">
        <f t="shared" ref="Q270" si="86">SUBTOTAL(9,Q264:Q269)</f>
        <v>0</v>
      </c>
      <c r="R270" s="623">
        <f t="shared" ref="R270" si="87">SUBTOTAL(9,R264:R269)</f>
        <v>0</v>
      </c>
      <c r="S270" s="623">
        <f t="shared" ref="S270" si="88">SUBTOTAL(9,S264:S269)</f>
        <v>0</v>
      </c>
      <c r="T270" s="623">
        <f t="shared" ref="T270" si="89">SUBTOTAL(9,T264:T269)</f>
        <v>0</v>
      </c>
      <c r="U270" s="623">
        <f t="shared" ref="U270" si="90">SUBTOTAL(9,U264:U269)</f>
        <v>0</v>
      </c>
      <c r="V270" s="623">
        <f>SUBTOTAL(9,V264:V269)</f>
        <v>0</v>
      </c>
      <c r="W270" s="556">
        <f>SUBTOTAL(9,W264:W269)</f>
        <v>0</v>
      </c>
      <c r="X270" s="63" t="str">
        <f>IF(H270=W270,"OK","Error")</f>
        <v>OK</v>
      </c>
      <c r="Y270" s="289">
        <v>0</v>
      </c>
      <c r="Z270" s="289">
        <f>H270-Y270</f>
        <v>0</v>
      </c>
    </row>
    <row r="271" spans="3:26" s="63" customFormat="1" ht="12" outlineLevel="1" x14ac:dyDescent="0.2">
      <c r="C271" s="64"/>
      <c r="D271" s="294"/>
      <c r="E271" s="301"/>
      <c r="F271" s="281"/>
      <c r="G271" s="678"/>
      <c r="H271" s="552"/>
      <c r="J271" s="622"/>
      <c r="K271" s="560"/>
      <c r="L271" s="560"/>
      <c r="M271" s="560"/>
      <c r="N271" s="560"/>
      <c r="O271" s="560"/>
      <c r="P271" s="560"/>
      <c r="Q271" s="560"/>
      <c r="R271" s="560"/>
      <c r="S271" s="560"/>
      <c r="T271" s="560"/>
      <c r="U271" s="560"/>
      <c r="V271" s="560"/>
      <c r="W271" s="552"/>
      <c r="Y271" s="289"/>
      <c r="Z271" s="289"/>
    </row>
    <row r="272" spans="3:26" s="63" customFormat="1" ht="12" outlineLevel="1" x14ac:dyDescent="0.2">
      <c r="C272" s="208">
        <v>6652</v>
      </c>
      <c r="D272" s="294"/>
      <c r="E272" s="301" t="s">
        <v>40</v>
      </c>
      <c r="F272" s="281"/>
      <c r="G272" s="678"/>
      <c r="H272" s="552"/>
      <c r="J272" s="622"/>
      <c r="K272" s="560"/>
      <c r="L272" s="560"/>
      <c r="M272" s="560"/>
      <c r="N272" s="560"/>
      <c r="O272" s="560"/>
      <c r="P272" s="560"/>
      <c r="Q272" s="560"/>
      <c r="R272" s="560"/>
      <c r="S272" s="560"/>
      <c r="T272" s="560"/>
      <c r="U272" s="560"/>
      <c r="V272" s="560"/>
      <c r="W272" s="552"/>
      <c r="Y272" s="289"/>
      <c r="Z272" s="289"/>
    </row>
    <row r="273" spans="3:26" s="63" customFormat="1" ht="12" outlineLevel="1" x14ac:dyDescent="0.2">
      <c r="C273" s="64"/>
      <c r="D273" s="599" t="s">
        <v>258</v>
      </c>
      <c r="E273" s="600"/>
      <c r="F273" s="597">
        <v>0</v>
      </c>
      <c r="G273" s="614">
        <v>0</v>
      </c>
      <c r="H273" s="618">
        <f t="shared" ref="H273" si="91">IF(J273="NO", F273*G273,SUM(J273:V273))</f>
        <v>0</v>
      </c>
      <c r="J273" s="631" t="s">
        <v>542</v>
      </c>
      <c r="K273" s="614">
        <f t="shared" ref="K273:V277" si="92">$F273*$G273/12</f>
        <v>0</v>
      </c>
      <c r="L273" s="614">
        <f t="shared" si="92"/>
        <v>0</v>
      </c>
      <c r="M273" s="614">
        <f t="shared" si="92"/>
        <v>0</v>
      </c>
      <c r="N273" s="614">
        <f t="shared" si="92"/>
        <v>0</v>
      </c>
      <c r="O273" s="614">
        <f t="shared" si="92"/>
        <v>0</v>
      </c>
      <c r="P273" s="614">
        <f t="shared" si="92"/>
        <v>0</v>
      </c>
      <c r="Q273" s="614">
        <f t="shared" si="92"/>
        <v>0</v>
      </c>
      <c r="R273" s="614">
        <f t="shared" si="92"/>
        <v>0</v>
      </c>
      <c r="S273" s="614">
        <f t="shared" si="92"/>
        <v>0</v>
      </c>
      <c r="T273" s="614">
        <f t="shared" si="92"/>
        <v>0</v>
      </c>
      <c r="U273" s="614">
        <f t="shared" si="92"/>
        <v>0</v>
      </c>
      <c r="V273" s="614">
        <f t="shared" si="92"/>
        <v>0</v>
      </c>
      <c r="W273" s="637">
        <f t="shared" ref="W273" si="93">SUM(K273:V273)</f>
        <v>0</v>
      </c>
      <c r="Y273" s="289"/>
      <c r="Z273" s="289"/>
    </row>
    <row r="274" spans="3:26" s="63" customFormat="1" ht="12" outlineLevel="1" x14ac:dyDescent="0.2">
      <c r="C274" s="64"/>
      <c r="D274" s="599" t="s">
        <v>258</v>
      </c>
      <c r="E274" s="600"/>
      <c r="F274" s="597">
        <v>0</v>
      </c>
      <c r="G274" s="614">
        <v>0</v>
      </c>
      <c r="H274" s="618">
        <f t="shared" ref="H274:H277" si="94">IF(J274="NO", F274*G274,SUM(J274:V274))</f>
        <v>0</v>
      </c>
      <c r="J274" s="631" t="s">
        <v>542</v>
      </c>
      <c r="K274" s="614">
        <f t="shared" si="92"/>
        <v>0</v>
      </c>
      <c r="L274" s="614">
        <f t="shared" si="92"/>
        <v>0</v>
      </c>
      <c r="M274" s="614">
        <f t="shared" si="92"/>
        <v>0</v>
      </c>
      <c r="N274" s="614">
        <f t="shared" si="92"/>
        <v>0</v>
      </c>
      <c r="O274" s="614">
        <f t="shared" si="92"/>
        <v>0</v>
      </c>
      <c r="P274" s="614">
        <f t="shared" si="92"/>
        <v>0</v>
      </c>
      <c r="Q274" s="614">
        <f t="shared" si="92"/>
        <v>0</v>
      </c>
      <c r="R274" s="614">
        <f t="shared" si="92"/>
        <v>0</v>
      </c>
      <c r="S274" s="614">
        <f t="shared" si="92"/>
        <v>0</v>
      </c>
      <c r="T274" s="614">
        <f t="shared" si="92"/>
        <v>0</v>
      </c>
      <c r="U274" s="614">
        <f t="shared" si="92"/>
        <v>0</v>
      </c>
      <c r="V274" s="614">
        <f t="shared" si="92"/>
        <v>0</v>
      </c>
      <c r="W274" s="637">
        <f t="shared" ref="W274:W277" si="95">SUM(K274:V274)</f>
        <v>0</v>
      </c>
      <c r="Y274" s="289"/>
      <c r="Z274" s="289"/>
    </row>
    <row r="275" spans="3:26" s="63" customFormat="1" ht="12" outlineLevel="1" x14ac:dyDescent="0.2">
      <c r="C275" s="64"/>
      <c r="D275" s="595" t="s">
        <v>258</v>
      </c>
      <c r="E275" s="596"/>
      <c r="F275" s="597">
        <v>0</v>
      </c>
      <c r="G275" s="614">
        <v>0</v>
      </c>
      <c r="H275" s="618">
        <f t="shared" si="94"/>
        <v>0</v>
      </c>
      <c r="J275" s="631" t="s">
        <v>542</v>
      </c>
      <c r="K275" s="614">
        <f t="shared" si="92"/>
        <v>0</v>
      </c>
      <c r="L275" s="614">
        <f t="shared" si="92"/>
        <v>0</v>
      </c>
      <c r="M275" s="614">
        <f t="shared" si="92"/>
        <v>0</v>
      </c>
      <c r="N275" s="614">
        <f t="shared" si="92"/>
        <v>0</v>
      </c>
      <c r="O275" s="614">
        <f t="shared" si="92"/>
        <v>0</v>
      </c>
      <c r="P275" s="614">
        <f t="shared" si="92"/>
        <v>0</v>
      </c>
      <c r="Q275" s="614">
        <f t="shared" si="92"/>
        <v>0</v>
      </c>
      <c r="R275" s="614">
        <f t="shared" si="92"/>
        <v>0</v>
      </c>
      <c r="S275" s="614">
        <f t="shared" si="92"/>
        <v>0</v>
      </c>
      <c r="T275" s="614">
        <f t="shared" si="92"/>
        <v>0</v>
      </c>
      <c r="U275" s="614">
        <f t="shared" si="92"/>
        <v>0</v>
      </c>
      <c r="V275" s="614">
        <f t="shared" si="92"/>
        <v>0</v>
      </c>
      <c r="W275" s="637">
        <f t="shared" si="95"/>
        <v>0</v>
      </c>
      <c r="Y275" s="289"/>
      <c r="Z275" s="289"/>
    </row>
    <row r="276" spans="3:26" s="63" customFormat="1" ht="12" outlineLevel="1" x14ac:dyDescent="0.2">
      <c r="C276" s="64"/>
      <c r="D276" s="595" t="s">
        <v>258</v>
      </c>
      <c r="E276" s="596"/>
      <c r="F276" s="597">
        <v>0</v>
      </c>
      <c r="G276" s="614">
        <v>0</v>
      </c>
      <c r="H276" s="618">
        <f t="shared" si="94"/>
        <v>0</v>
      </c>
      <c r="J276" s="631" t="s">
        <v>542</v>
      </c>
      <c r="K276" s="614">
        <f t="shared" si="92"/>
        <v>0</v>
      </c>
      <c r="L276" s="614">
        <f t="shared" si="92"/>
        <v>0</v>
      </c>
      <c r="M276" s="614">
        <f t="shared" si="92"/>
        <v>0</v>
      </c>
      <c r="N276" s="614">
        <f t="shared" si="92"/>
        <v>0</v>
      </c>
      <c r="O276" s="614">
        <f t="shared" si="92"/>
        <v>0</v>
      </c>
      <c r="P276" s="614">
        <f t="shared" si="92"/>
        <v>0</v>
      </c>
      <c r="Q276" s="614">
        <f t="shared" si="92"/>
        <v>0</v>
      </c>
      <c r="R276" s="614">
        <f t="shared" si="92"/>
        <v>0</v>
      </c>
      <c r="S276" s="614">
        <f t="shared" si="92"/>
        <v>0</v>
      </c>
      <c r="T276" s="614">
        <f t="shared" si="92"/>
        <v>0</v>
      </c>
      <c r="U276" s="614">
        <f t="shared" si="92"/>
        <v>0</v>
      </c>
      <c r="V276" s="614">
        <f t="shared" si="92"/>
        <v>0</v>
      </c>
      <c r="W276" s="637">
        <f t="shared" si="95"/>
        <v>0</v>
      </c>
      <c r="Y276" s="289"/>
      <c r="Z276" s="289"/>
    </row>
    <row r="277" spans="3:26" s="63" customFormat="1" ht="12" outlineLevel="1" x14ac:dyDescent="0.2">
      <c r="C277" s="64"/>
      <c r="D277" s="595" t="s">
        <v>258</v>
      </c>
      <c r="E277" s="596"/>
      <c r="F277" s="597">
        <v>0</v>
      </c>
      <c r="G277" s="614">
        <v>0</v>
      </c>
      <c r="H277" s="618">
        <f t="shared" si="94"/>
        <v>0</v>
      </c>
      <c r="J277" s="631" t="s">
        <v>542</v>
      </c>
      <c r="K277" s="614">
        <f t="shared" si="92"/>
        <v>0</v>
      </c>
      <c r="L277" s="614">
        <f t="shared" si="92"/>
        <v>0</v>
      </c>
      <c r="M277" s="614">
        <f t="shared" si="92"/>
        <v>0</v>
      </c>
      <c r="N277" s="614">
        <f t="shared" si="92"/>
        <v>0</v>
      </c>
      <c r="O277" s="614">
        <f t="shared" si="92"/>
        <v>0</v>
      </c>
      <c r="P277" s="614">
        <f t="shared" si="92"/>
        <v>0</v>
      </c>
      <c r="Q277" s="614">
        <f t="shared" si="92"/>
        <v>0</v>
      </c>
      <c r="R277" s="614">
        <f t="shared" si="92"/>
        <v>0</v>
      </c>
      <c r="S277" s="614">
        <f t="shared" si="92"/>
        <v>0</v>
      </c>
      <c r="T277" s="614">
        <f t="shared" si="92"/>
        <v>0</v>
      </c>
      <c r="U277" s="614">
        <f t="shared" si="92"/>
        <v>0</v>
      </c>
      <c r="V277" s="614">
        <f t="shared" si="92"/>
        <v>0</v>
      </c>
      <c r="W277" s="637">
        <f t="shared" si="95"/>
        <v>0</v>
      </c>
      <c r="Y277" s="289"/>
      <c r="Z277" s="289"/>
    </row>
    <row r="278" spans="3:26" s="63" customFormat="1" ht="3.6" customHeight="1" outlineLevel="1" thickBot="1" x14ac:dyDescent="0.25">
      <c r="C278" s="64"/>
      <c r="D278" s="296"/>
      <c r="E278" s="302"/>
      <c r="F278" s="283"/>
      <c r="G278" s="619"/>
      <c r="H278" s="555"/>
      <c r="J278" s="627"/>
      <c r="K278" s="562"/>
      <c r="L278" s="562"/>
      <c r="M278" s="562"/>
      <c r="N278" s="562"/>
      <c r="O278" s="562"/>
      <c r="P278" s="562"/>
      <c r="Q278" s="562"/>
      <c r="R278" s="562"/>
      <c r="S278" s="562"/>
      <c r="T278" s="562"/>
      <c r="U278" s="562"/>
      <c r="V278" s="562"/>
      <c r="W278" s="555"/>
      <c r="Y278" s="289"/>
      <c r="Z278" s="289"/>
    </row>
    <row r="279" spans="3:26" s="63" customFormat="1" ht="12.75" thickBot="1" x14ac:dyDescent="0.25">
      <c r="C279" s="64"/>
      <c r="D279" s="294"/>
      <c r="E279" s="301"/>
      <c r="F279" s="284" t="str">
        <f>E272</f>
        <v>Supplies-Equipment</v>
      </c>
      <c r="G279" s="679">
        <f>C272</f>
        <v>6652</v>
      </c>
      <c r="H279" s="556">
        <f>SUBTOTAL(9,H273:H278)</f>
        <v>0</v>
      </c>
      <c r="J279" s="629"/>
      <c r="K279" s="623">
        <f>SUBTOTAL(9,K273:K278)</f>
        <v>0</v>
      </c>
      <c r="L279" s="623">
        <f t="shared" ref="L279" si="96">SUBTOTAL(9,L273:L278)</f>
        <v>0</v>
      </c>
      <c r="M279" s="623">
        <f t="shared" ref="M279" si="97">SUBTOTAL(9,M273:M278)</f>
        <v>0</v>
      </c>
      <c r="N279" s="623">
        <f t="shared" ref="N279" si="98">SUBTOTAL(9,N273:N278)</f>
        <v>0</v>
      </c>
      <c r="O279" s="623">
        <f t="shared" ref="O279" si="99">SUBTOTAL(9,O273:O278)</f>
        <v>0</v>
      </c>
      <c r="P279" s="623">
        <f t="shared" ref="P279" si="100">SUBTOTAL(9,P273:P278)</f>
        <v>0</v>
      </c>
      <c r="Q279" s="623">
        <f t="shared" ref="Q279" si="101">SUBTOTAL(9,Q273:Q278)</f>
        <v>0</v>
      </c>
      <c r="R279" s="623">
        <f t="shared" ref="R279" si="102">SUBTOTAL(9,R273:R278)</f>
        <v>0</v>
      </c>
      <c r="S279" s="623">
        <f t="shared" ref="S279" si="103">SUBTOTAL(9,S273:S278)</f>
        <v>0</v>
      </c>
      <c r="T279" s="623">
        <f t="shared" ref="T279" si="104">SUBTOTAL(9,T273:T278)</f>
        <v>0</v>
      </c>
      <c r="U279" s="623">
        <f t="shared" ref="U279" si="105">SUBTOTAL(9,U273:U278)</f>
        <v>0</v>
      </c>
      <c r="V279" s="623">
        <f>SUBTOTAL(9,V273:V278)</f>
        <v>0</v>
      </c>
      <c r="W279" s="556">
        <f>SUBTOTAL(9,W273:W278)</f>
        <v>0</v>
      </c>
      <c r="X279" s="63" t="str">
        <f>IF(H279=W279,"OK","Error")</f>
        <v>OK</v>
      </c>
      <c r="Y279" s="289">
        <v>0</v>
      </c>
      <c r="Z279" s="289">
        <f>H279-Y279</f>
        <v>0</v>
      </c>
    </row>
    <row r="280" spans="3:26" s="63" customFormat="1" ht="12" x14ac:dyDescent="0.2">
      <c r="C280" s="64"/>
      <c r="D280" s="294"/>
      <c r="E280" s="301"/>
      <c r="F280" s="281"/>
      <c r="G280" s="678"/>
      <c r="H280" s="552"/>
      <c r="J280" s="622"/>
      <c r="K280" s="560"/>
      <c r="L280" s="560"/>
      <c r="M280" s="560"/>
      <c r="N280" s="560"/>
      <c r="O280" s="560"/>
      <c r="P280" s="560"/>
      <c r="Q280" s="560"/>
      <c r="R280" s="560"/>
      <c r="S280" s="560"/>
      <c r="T280" s="560"/>
      <c r="U280" s="560"/>
      <c r="V280" s="560"/>
      <c r="W280" s="552"/>
      <c r="Y280" s="289"/>
      <c r="Z280" s="289"/>
    </row>
    <row r="281" spans="3:26" s="63" customFormat="1" ht="12" x14ac:dyDescent="0.2">
      <c r="C281" s="66" t="s">
        <v>103</v>
      </c>
      <c r="D281" s="294"/>
      <c r="E281" s="301"/>
      <c r="F281" s="281"/>
      <c r="G281" s="678"/>
      <c r="H281" s="552"/>
      <c r="J281" s="622"/>
      <c r="K281" s="560"/>
      <c r="L281" s="560"/>
      <c r="M281" s="560"/>
      <c r="N281" s="560"/>
      <c r="O281" s="560"/>
      <c r="P281" s="560"/>
      <c r="Q281" s="560"/>
      <c r="R281" s="560"/>
      <c r="S281" s="560"/>
      <c r="T281" s="560"/>
      <c r="U281" s="560"/>
      <c r="V281" s="560"/>
      <c r="W281" s="552"/>
      <c r="Y281" s="289"/>
      <c r="Z281" s="289"/>
    </row>
    <row r="282" spans="3:26" s="63" customFormat="1" ht="12" outlineLevel="1" x14ac:dyDescent="0.2">
      <c r="C282" s="208">
        <v>6734</v>
      </c>
      <c r="D282" s="294"/>
      <c r="E282" s="301" t="s">
        <v>41</v>
      </c>
      <c r="F282" s="281"/>
      <c r="G282" s="678"/>
      <c r="H282" s="552"/>
      <c r="J282" s="622"/>
      <c r="K282" s="560"/>
      <c r="L282" s="560"/>
      <c r="M282" s="560"/>
      <c r="N282" s="560"/>
      <c r="O282" s="560"/>
      <c r="P282" s="560"/>
      <c r="Q282" s="560"/>
      <c r="R282" s="560"/>
      <c r="S282" s="560"/>
      <c r="T282" s="560"/>
      <c r="U282" s="560"/>
      <c r="V282" s="560"/>
      <c r="W282" s="552"/>
      <c r="Y282" s="289"/>
      <c r="Z282" s="289"/>
    </row>
    <row r="283" spans="3:26" s="63" customFormat="1" ht="12" outlineLevel="1" x14ac:dyDescent="0.2">
      <c r="C283" s="64"/>
      <c r="D283" s="595" t="s">
        <v>259</v>
      </c>
      <c r="E283" s="596"/>
      <c r="F283" s="597">
        <v>0</v>
      </c>
      <c r="G283" s="614">
        <v>0</v>
      </c>
      <c r="H283" s="618">
        <f>IF(J283="NO", F283*G283,SUM(J283:V283))</f>
        <v>0</v>
      </c>
      <c r="J283" s="631" t="s">
        <v>542</v>
      </c>
      <c r="K283" s="614">
        <f t="shared" ref="K283:V287" si="106">$F283*$G283/12</f>
        <v>0</v>
      </c>
      <c r="L283" s="614">
        <f t="shared" si="106"/>
        <v>0</v>
      </c>
      <c r="M283" s="614">
        <f t="shared" si="106"/>
        <v>0</v>
      </c>
      <c r="N283" s="614">
        <f t="shared" si="106"/>
        <v>0</v>
      </c>
      <c r="O283" s="614">
        <f t="shared" si="106"/>
        <v>0</v>
      </c>
      <c r="P283" s="614">
        <f t="shared" si="106"/>
        <v>0</v>
      </c>
      <c r="Q283" s="614">
        <f t="shared" si="106"/>
        <v>0</v>
      </c>
      <c r="R283" s="614">
        <f t="shared" si="106"/>
        <v>0</v>
      </c>
      <c r="S283" s="614">
        <f t="shared" si="106"/>
        <v>0</v>
      </c>
      <c r="T283" s="614">
        <f t="shared" si="106"/>
        <v>0</v>
      </c>
      <c r="U283" s="614">
        <f t="shared" si="106"/>
        <v>0</v>
      </c>
      <c r="V283" s="614">
        <f t="shared" si="106"/>
        <v>0</v>
      </c>
      <c r="W283" s="637">
        <f t="shared" ref="W283:W287" si="107">SUM(K283:V283)</f>
        <v>0</v>
      </c>
      <c r="Y283" s="289"/>
      <c r="Z283" s="289"/>
    </row>
    <row r="284" spans="3:26" s="63" customFormat="1" ht="12" outlineLevel="1" x14ac:dyDescent="0.2">
      <c r="C284" s="64"/>
      <c r="D284" s="595" t="s">
        <v>258</v>
      </c>
      <c r="E284" s="596"/>
      <c r="F284" s="597">
        <v>0</v>
      </c>
      <c r="G284" s="614">
        <v>0</v>
      </c>
      <c r="H284" s="618">
        <f t="shared" ref="H284:H287" si="108">IF(J284="NO", F284*G284,SUM(J284:V284))</f>
        <v>0</v>
      </c>
      <c r="J284" s="631" t="s">
        <v>542</v>
      </c>
      <c r="K284" s="614">
        <f t="shared" si="106"/>
        <v>0</v>
      </c>
      <c r="L284" s="614">
        <f t="shared" si="106"/>
        <v>0</v>
      </c>
      <c r="M284" s="614">
        <f t="shared" si="106"/>
        <v>0</v>
      </c>
      <c r="N284" s="614">
        <f t="shared" si="106"/>
        <v>0</v>
      </c>
      <c r="O284" s="614">
        <f t="shared" si="106"/>
        <v>0</v>
      </c>
      <c r="P284" s="614">
        <f t="shared" si="106"/>
        <v>0</v>
      </c>
      <c r="Q284" s="614">
        <f t="shared" si="106"/>
        <v>0</v>
      </c>
      <c r="R284" s="614">
        <f t="shared" si="106"/>
        <v>0</v>
      </c>
      <c r="S284" s="614">
        <f t="shared" si="106"/>
        <v>0</v>
      </c>
      <c r="T284" s="614">
        <f t="shared" si="106"/>
        <v>0</v>
      </c>
      <c r="U284" s="614">
        <f t="shared" si="106"/>
        <v>0</v>
      </c>
      <c r="V284" s="614">
        <f t="shared" si="106"/>
        <v>0</v>
      </c>
      <c r="W284" s="637">
        <f t="shared" si="107"/>
        <v>0</v>
      </c>
      <c r="Y284" s="289"/>
      <c r="Z284" s="289"/>
    </row>
    <row r="285" spans="3:26" s="63" customFormat="1" ht="12" outlineLevel="1" x14ac:dyDescent="0.2">
      <c r="C285" s="64"/>
      <c r="D285" s="595" t="s">
        <v>258</v>
      </c>
      <c r="E285" s="596"/>
      <c r="F285" s="597">
        <v>0</v>
      </c>
      <c r="G285" s="614">
        <v>0</v>
      </c>
      <c r="H285" s="618">
        <f t="shared" si="108"/>
        <v>0</v>
      </c>
      <c r="J285" s="631" t="s">
        <v>542</v>
      </c>
      <c r="K285" s="614">
        <f t="shared" si="106"/>
        <v>0</v>
      </c>
      <c r="L285" s="614">
        <f t="shared" si="106"/>
        <v>0</v>
      </c>
      <c r="M285" s="614">
        <f t="shared" si="106"/>
        <v>0</v>
      </c>
      <c r="N285" s="614">
        <f t="shared" si="106"/>
        <v>0</v>
      </c>
      <c r="O285" s="614">
        <f t="shared" si="106"/>
        <v>0</v>
      </c>
      <c r="P285" s="614">
        <f t="shared" si="106"/>
        <v>0</v>
      </c>
      <c r="Q285" s="614">
        <f t="shared" si="106"/>
        <v>0</v>
      </c>
      <c r="R285" s="614">
        <f t="shared" si="106"/>
        <v>0</v>
      </c>
      <c r="S285" s="614">
        <f t="shared" si="106"/>
        <v>0</v>
      </c>
      <c r="T285" s="614">
        <f t="shared" si="106"/>
        <v>0</v>
      </c>
      <c r="U285" s="614">
        <f t="shared" si="106"/>
        <v>0</v>
      </c>
      <c r="V285" s="614">
        <f t="shared" si="106"/>
        <v>0</v>
      </c>
      <c r="W285" s="637">
        <f t="shared" si="107"/>
        <v>0</v>
      </c>
      <c r="Y285" s="289"/>
      <c r="Z285" s="289"/>
    </row>
    <row r="286" spans="3:26" s="63" customFormat="1" ht="12" outlineLevel="1" x14ac:dyDescent="0.2">
      <c r="C286" s="64"/>
      <c r="D286" s="595" t="s">
        <v>258</v>
      </c>
      <c r="E286" s="596"/>
      <c r="F286" s="597">
        <v>0</v>
      </c>
      <c r="G286" s="614">
        <v>0</v>
      </c>
      <c r="H286" s="618">
        <f t="shared" si="108"/>
        <v>0</v>
      </c>
      <c r="J286" s="631" t="s">
        <v>542</v>
      </c>
      <c r="K286" s="614">
        <f t="shared" si="106"/>
        <v>0</v>
      </c>
      <c r="L286" s="614">
        <f t="shared" si="106"/>
        <v>0</v>
      </c>
      <c r="M286" s="614">
        <f t="shared" si="106"/>
        <v>0</v>
      </c>
      <c r="N286" s="614">
        <f t="shared" si="106"/>
        <v>0</v>
      </c>
      <c r="O286" s="614">
        <f t="shared" si="106"/>
        <v>0</v>
      </c>
      <c r="P286" s="614">
        <f t="shared" si="106"/>
        <v>0</v>
      </c>
      <c r="Q286" s="614">
        <f t="shared" si="106"/>
        <v>0</v>
      </c>
      <c r="R286" s="614">
        <f t="shared" si="106"/>
        <v>0</v>
      </c>
      <c r="S286" s="614">
        <f t="shared" si="106"/>
        <v>0</v>
      </c>
      <c r="T286" s="614">
        <f t="shared" si="106"/>
        <v>0</v>
      </c>
      <c r="U286" s="614">
        <f t="shared" si="106"/>
        <v>0</v>
      </c>
      <c r="V286" s="614">
        <f t="shared" si="106"/>
        <v>0</v>
      </c>
      <c r="W286" s="637">
        <f t="shared" si="107"/>
        <v>0</v>
      </c>
      <c r="Y286" s="289"/>
      <c r="Z286" s="289"/>
    </row>
    <row r="287" spans="3:26" s="63" customFormat="1" ht="12" outlineLevel="1" x14ac:dyDescent="0.2">
      <c r="C287" s="64"/>
      <c r="D287" s="595" t="s">
        <v>258</v>
      </c>
      <c r="E287" s="596"/>
      <c r="F287" s="597">
        <v>0</v>
      </c>
      <c r="G287" s="614">
        <v>0</v>
      </c>
      <c r="H287" s="618">
        <f t="shared" si="108"/>
        <v>0</v>
      </c>
      <c r="J287" s="631" t="s">
        <v>542</v>
      </c>
      <c r="K287" s="614">
        <f t="shared" si="106"/>
        <v>0</v>
      </c>
      <c r="L287" s="614">
        <f t="shared" si="106"/>
        <v>0</v>
      </c>
      <c r="M287" s="614">
        <f t="shared" si="106"/>
        <v>0</v>
      </c>
      <c r="N287" s="614">
        <f t="shared" si="106"/>
        <v>0</v>
      </c>
      <c r="O287" s="614">
        <f t="shared" si="106"/>
        <v>0</v>
      </c>
      <c r="P287" s="614">
        <f t="shared" si="106"/>
        <v>0</v>
      </c>
      <c r="Q287" s="614">
        <f t="shared" si="106"/>
        <v>0</v>
      </c>
      <c r="R287" s="614">
        <f t="shared" si="106"/>
        <v>0</v>
      </c>
      <c r="S287" s="614">
        <f t="shared" si="106"/>
        <v>0</v>
      </c>
      <c r="T287" s="614">
        <f t="shared" si="106"/>
        <v>0</v>
      </c>
      <c r="U287" s="614">
        <f t="shared" si="106"/>
        <v>0</v>
      </c>
      <c r="V287" s="614">
        <f t="shared" si="106"/>
        <v>0</v>
      </c>
      <c r="W287" s="637">
        <f t="shared" si="107"/>
        <v>0</v>
      </c>
      <c r="Y287" s="289"/>
      <c r="Z287" s="289"/>
    </row>
    <row r="288" spans="3:26" s="63" customFormat="1" ht="3.6" customHeight="1" outlineLevel="1" thickBot="1" x14ac:dyDescent="0.25">
      <c r="C288" s="64"/>
      <c r="D288" s="296"/>
      <c r="E288" s="302"/>
      <c r="F288" s="283"/>
      <c r="G288" s="619"/>
      <c r="H288" s="555"/>
      <c r="J288" s="627"/>
      <c r="K288" s="562"/>
      <c r="L288" s="562"/>
      <c r="M288" s="562"/>
      <c r="N288" s="562"/>
      <c r="O288" s="562"/>
      <c r="P288" s="562"/>
      <c r="Q288" s="562"/>
      <c r="R288" s="562"/>
      <c r="S288" s="562"/>
      <c r="T288" s="562"/>
      <c r="U288" s="562"/>
      <c r="V288" s="562"/>
      <c r="W288" s="555"/>
      <c r="Y288" s="289"/>
      <c r="Z288" s="289"/>
    </row>
    <row r="289" spans="3:26" s="63" customFormat="1" ht="12.75" thickBot="1" x14ac:dyDescent="0.25">
      <c r="C289" s="64"/>
      <c r="D289" s="294"/>
      <c r="E289" s="301"/>
      <c r="F289" s="284" t="str">
        <f>E282</f>
        <v>Technology-Related Hardware</v>
      </c>
      <c r="G289" s="679">
        <f>C282</f>
        <v>6734</v>
      </c>
      <c r="H289" s="556">
        <f>SUBTOTAL(9,H283:H288)</f>
        <v>0</v>
      </c>
      <c r="J289" s="629"/>
      <c r="K289" s="623">
        <f>SUBTOTAL(9,K283:K288)</f>
        <v>0</v>
      </c>
      <c r="L289" s="623">
        <f t="shared" ref="L289" si="109">SUBTOTAL(9,L283:L288)</f>
        <v>0</v>
      </c>
      <c r="M289" s="623">
        <f t="shared" ref="M289" si="110">SUBTOTAL(9,M283:M288)</f>
        <v>0</v>
      </c>
      <c r="N289" s="623">
        <f t="shared" ref="N289" si="111">SUBTOTAL(9,N283:N288)</f>
        <v>0</v>
      </c>
      <c r="O289" s="623">
        <f t="shared" ref="O289" si="112">SUBTOTAL(9,O283:O288)</f>
        <v>0</v>
      </c>
      <c r="P289" s="623">
        <f t="shared" ref="P289" si="113">SUBTOTAL(9,P283:P288)</f>
        <v>0</v>
      </c>
      <c r="Q289" s="623">
        <f t="shared" ref="Q289" si="114">SUBTOTAL(9,Q283:Q288)</f>
        <v>0</v>
      </c>
      <c r="R289" s="623">
        <f t="shared" ref="R289" si="115">SUBTOTAL(9,R283:R288)</f>
        <v>0</v>
      </c>
      <c r="S289" s="623">
        <f t="shared" ref="S289" si="116">SUBTOTAL(9,S283:S288)</f>
        <v>0</v>
      </c>
      <c r="T289" s="623">
        <f t="shared" ref="T289" si="117">SUBTOTAL(9,T283:T288)</f>
        <v>0</v>
      </c>
      <c r="U289" s="623">
        <f t="shared" ref="U289" si="118">SUBTOTAL(9,U283:U288)</f>
        <v>0</v>
      </c>
      <c r="V289" s="623">
        <f>SUBTOTAL(9,V283:V288)</f>
        <v>0</v>
      </c>
      <c r="W289" s="556">
        <f>SUBTOTAL(9,W283:W288)</f>
        <v>0</v>
      </c>
      <c r="X289" s="63" t="str">
        <f>IF(H289=W289,"OK","Error")</f>
        <v>OK</v>
      </c>
      <c r="Y289" s="289">
        <v>0</v>
      </c>
      <c r="Z289" s="289">
        <f>H289-Y289</f>
        <v>0</v>
      </c>
    </row>
    <row r="290" spans="3:26" s="63" customFormat="1" ht="12" x14ac:dyDescent="0.2">
      <c r="C290" s="64"/>
      <c r="D290" s="294"/>
      <c r="E290" s="301"/>
      <c r="F290" s="281"/>
      <c r="G290" s="678"/>
      <c r="H290" s="552"/>
      <c r="J290" s="622"/>
      <c r="K290" s="560"/>
      <c r="L290" s="560"/>
      <c r="M290" s="560"/>
      <c r="N290" s="560"/>
      <c r="O290" s="560"/>
      <c r="P290" s="560"/>
      <c r="Q290" s="560"/>
      <c r="R290" s="560"/>
      <c r="S290" s="560"/>
      <c r="T290" s="560"/>
      <c r="U290" s="560"/>
      <c r="V290" s="560"/>
      <c r="W290" s="552"/>
      <c r="Y290" s="289"/>
      <c r="Z290" s="289"/>
    </row>
    <row r="291" spans="3:26" s="63" customFormat="1" ht="12" x14ac:dyDescent="0.2">
      <c r="C291" s="66" t="s">
        <v>104</v>
      </c>
      <c r="D291" s="294"/>
      <c r="E291" s="301"/>
      <c r="F291" s="281"/>
      <c r="G291" s="678"/>
      <c r="H291" s="552"/>
      <c r="J291" s="622"/>
      <c r="K291" s="560"/>
      <c r="L291" s="560"/>
      <c r="M291" s="560"/>
      <c r="N291" s="560"/>
      <c r="O291" s="560"/>
      <c r="P291" s="560"/>
      <c r="Q291" s="560"/>
      <c r="R291" s="560"/>
      <c r="S291" s="560"/>
      <c r="T291" s="560"/>
      <c r="U291" s="560"/>
      <c r="V291" s="560"/>
      <c r="W291" s="552"/>
      <c r="Y291" s="289"/>
      <c r="Z291" s="289"/>
    </row>
    <row r="292" spans="3:26" s="63" customFormat="1" ht="12" outlineLevel="1" x14ac:dyDescent="0.2">
      <c r="C292" s="208">
        <v>6810</v>
      </c>
      <c r="D292" s="294"/>
      <c r="E292" s="301" t="s">
        <v>42</v>
      </c>
      <c r="F292" s="281"/>
      <c r="G292" s="678"/>
      <c r="H292" s="552"/>
      <c r="J292" s="622"/>
      <c r="K292" s="560"/>
      <c r="L292" s="560"/>
      <c r="M292" s="560"/>
      <c r="N292" s="560"/>
      <c r="O292" s="560"/>
      <c r="P292" s="560"/>
      <c r="Q292" s="560"/>
      <c r="R292" s="560"/>
      <c r="S292" s="560"/>
      <c r="T292" s="560"/>
      <c r="U292" s="560"/>
      <c r="V292" s="560"/>
      <c r="W292" s="552"/>
      <c r="Y292" s="289"/>
      <c r="Z292" s="289"/>
    </row>
    <row r="293" spans="3:26" s="63" customFormat="1" ht="12" outlineLevel="1" x14ac:dyDescent="0.2">
      <c r="C293" s="64"/>
      <c r="D293" s="567" t="s">
        <v>276</v>
      </c>
      <c r="E293" s="568" t="s">
        <v>569</v>
      </c>
      <c r="F293" s="576">
        <v>1</v>
      </c>
      <c r="G293" s="613">
        <v>120</v>
      </c>
      <c r="H293" s="618">
        <f t="shared" ref="H293:H294" si="119">IF(J293="NO", F293*G293,SUM(J293:V293))</f>
        <v>120</v>
      </c>
      <c r="J293" s="625" t="s">
        <v>543</v>
      </c>
      <c r="K293" s="611">
        <v>120</v>
      </c>
      <c r="L293" s="611">
        <v>0</v>
      </c>
      <c r="M293" s="611">
        <v>0</v>
      </c>
      <c r="N293" s="611">
        <v>0</v>
      </c>
      <c r="O293" s="611">
        <v>0</v>
      </c>
      <c r="P293" s="611">
        <v>0</v>
      </c>
      <c r="Q293" s="611">
        <v>0</v>
      </c>
      <c r="R293" s="611">
        <v>0</v>
      </c>
      <c r="S293" s="611">
        <v>0</v>
      </c>
      <c r="T293" s="611">
        <v>0</v>
      </c>
      <c r="U293" s="611">
        <v>0</v>
      </c>
      <c r="V293" s="611">
        <v>0</v>
      </c>
      <c r="W293" s="618">
        <f t="shared" ref="W293" si="120">SUM(K293:V293)</f>
        <v>120</v>
      </c>
      <c r="Y293" s="289"/>
      <c r="Z293" s="289"/>
    </row>
    <row r="294" spans="3:26" s="63" customFormat="1" ht="12" outlineLevel="1" x14ac:dyDescent="0.2">
      <c r="C294" s="64"/>
      <c r="D294" s="567" t="s">
        <v>276</v>
      </c>
      <c r="E294" s="568" t="s">
        <v>571</v>
      </c>
      <c r="F294" s="576">
        <v>1</v>
      </c>
      <c r="G294" s="613">
        <v>307</v>
      </c>
      <c r="H294" s="618">
        <f t="shared" si="119"/>
        <v>307</v>
      </c>
      <c r="J294" s="625" t="s">
        <v>543</v>
      </c>
      <c r="K294" s="611">
        <v>0</v>
      </c>
      <c r="L294" s="611">
        <v>0</v>
      </c>
      <c r="M294" s="611">
        <v>0</v>
      </c>
      <c r="N294" s="611">
        <v>0</v>
      </c>
      <c r="O294" s="611">
        <v>0</v>
      </c>
      <c r="P294" s="611">
        <v>0</v>
      </c>
      <c r="Q294" s="611">
        <v>0</v>
      </c>
      <c r="R294" s="611">
        <v>0</v>
      </c>
      <c r="S294" s="611">
        <v>307</v>
      </c>
      <c r="T294" s="611">
        <v>0</v>
      </c>
      <c r="U294" s="611">
        <v>0</v>
      </c>
      <c r="V294" s="611">
        <v>0</v>
      </c>
      <c r="W294" s="618">
        <f t="shared" ref="W294" si="121">SUM(K294:V294)</f>
        <v>307</v>
      </c>
      <c r="Y294" s="289"/>
      <c r="Z294" s="289"/>
    </row>
    <row r="295" spans="3:26" s="63" customFormat="1" ht="12" outlineLevel="1" x14ac:dyDescent="0.2">
      <c r="C295" s="64"/>
      <c r="D295" s="567" t="s">
        <v>323</v>
      </c>
      <c r="E295" s="568" t="s">
        <v>633</v>
      </c>
      <c r="F295" s="576">
        <f>MAX('Rev &amp; Enroll'!Q24:AB24)+24</f>
        <v>294</v>
      </c>
      <c r="G295" s="613">
        <v>5</v>
      </c>
      <c r="H295" s="618">
        <f t="shared" ref="H295" si="122">IF(J295="NO", F295*G295,SUM(J295:V295))</f>
        <v>1470</v>
      </c>
      <c r="J295" s="625" t="s">
        <v>543</v>
      </c>
      <c r="K295" s="611">
        <v>10</v>
      </c>
      <c r="L295" s="611">
        <v>10</v>
      </c>
      <c r="M295" s="611">
        <v>1270</v>
      </c>
      <c r="N295" s="611">
        <v>10</v>
      </c>
      <c r="O295" s="611">
        <v>10</v>
      </c>
      <c r="P295" s="611">
        <v>10</v>
      </c>
      <c r="Q295" s="611">
        <v>10</v>
      </c>
      <c r="R295" s="611">
        <f>20*5</f>
        <v>100</v>
      </c>
      <c r="S295" s="611">
        <v>10</v>
      </c>
      <c r="T295" s="611">
        <v>10</v>
      </c>
      <c r="U295" s="611">
        <v>10</v>
      </c>
      <c r="V295" s="611">
        <v>10</v>
      </c>
      <c r="W295" s="618">
        <f t="shared" ref="W295" si="123">SUM(K295:V295)</f>
        <v>1470</v>
      </c>
      <c r="Y295" s="289"/>
      <c r="Z295" s="289"/>
    </row>
    <row r="296" spans="3:26" s="63" customFormat="1" ht="12" outlineLevel="1" x14ac:dyDescent="0.2">
      <c r="C296" s="64"/>
      <c r="D296" s="564" t="s">
        <v>323</v>
      </c>
      <c r="E296" s="565" t="s">
        <v>570</v>
      </c>
      <c r="F296" s="566">
        <v>4</v>
      </c>
      <c r="G296" s="612">
        <v>60</v>
      </c>
      <c r="H296" s="618">
        <f t="shared" ref="H296" si="124">IF(J296="NO", F296*G296,SUM(J296:V296))</f>
        <v>240</v>
      </c>
      <c r="J296" s="626" t="s">
        <v>543</v>
      </c>
      <c r="K296" s="612">
        <v>60</v>
      </c>
      <c r="L296" s="612">
        <v>60</v>
      </c>
      <c r="M296" s="612">
        <v>0</v>
      </c>
      <c r="N296" s="612">
        <v>0</v>
      </c>
      <c r="O296" s="612">
        <v>0</v>
      </c>
      <c r="P296" s="612">
        <v>60</v>
      </c>
      <c r="Q296" s="612">
        <v>60</v>
      </c>
      <c r="R296" s="612">
        <v>0</v>
      </c>
      <c r="S296" s="612">
        <v>0</v>
      </c>
      <c r="T296" s="612">
        <v>0</v>
      </c>
      <c r="U296" s="612">
        <v>0</v>
      </c>
      <c r="V296" s="612">
        <v>0</v>
      </c>
      <c r="W296" s="618">
        <f>SUM(K296:V296)</f>
        <v>240</v>
      </c>
      <c r="Y296" s="289"/>
      <c r="Z296" s="289"/>
    </row>
    <row r="297" spans="3:26" s="63" customFormat="1" ht="12" outlineLevel="1" x14ac:dyDescent="0.2">
      <c r="C297" s="64"/>
      <c r="D297" s="564" t="s">
        <v>258</v>
      </c>
      <c r="E297" s="565"/>
      <c r="F297" s="566">
        <v>0</v>
      </c>
      <c r="G297" s="612">
        <v>0</v>
      </c>
      <c r="H297" s="618">
        <f t="shared" ref="H297" si="125">IF(J297="NO", F297*G297,SUM(J297:V297))</f>
        <v>0</v>
      </c>
      <c r="J297" s="626" t="s">
        <v>542</v>
      </c>
      <c r="K297" s="612">
        <v>0</v>
      </c>
      <c r="L297" s="612">
        <v>0</v>
      </c>
      <c r="M297" s="612">
        <v>0</v>
      </c>
      <c r="N297" s="612">
        <v>0</v>
      </c>
      <c r="O297" s="612">
        <v>0</v>
      </c>
      <c r="P297" s="612">
        <v>0</v>
      </c>
      <c r="Q297" s="612">
        <v>0</v>
      </c>
      <c r="R297" s="612">
        <v>0</v>
      </c>
      <c r="S297" s="612">
        <v>0</v>
      </c>
      <c r="T297" s="612">
        <v>0</v>
      </c>
      <c r="U297" s="612">
        <v>0</v>
      </c>
      <c r="V297" s="612">
        <v>0</v>
      </c>
      <c r="W297" s="618">
        <f t="shared" ref="W297" si="126">SUM(K297:V297)</f>
        <v>0</v>
      </c>
      <c r="Y297" s="289"/>
      <c r="Z297" s="289"/>
    </row>
    <row r="298" spans="3:26" s="63" customFormat="1" ht="3.6" customHeight="1" outlineLevel="1" thickBot="1" x14ac:dyDescent="0.25">
      <c r="C298" s="64"/>
      <c r="D298" s="296"/>
      <c r="E298" s="302"/>
      <c r="F298" s="283"/>
      <c r="G298" s="619"/>
      <c r="H298" s="555"/>
      <c r="J298" s="627"/>
      <c r="K298" s="562"/>
      <c r="L298" s="562"/>
      <c r="M298" s="562"/>
      <c r="N298" s="562"/>
      <c r="O298" s="562"/>
      <c r="P298" s="562"/>
      <c r="Q298" s="562"/>
      <c r="R298" s="562"/>
      <c r="S298" s="562"/>
      <c r="T298" s="562"/>
      <c r="U298" s="562"/>
      <c r="V298" s="562"/>
      <c r="W298" s="555"/>
      <c r="Y298" s="289"/>
      <c r="Z298" s="289"/>
    </row>
    <row r="299" spans="3:26" s="63" customFormat="1" ht="12.75" thickBot="1" x14ac:dyDescent="0.25">
      <c r="C299" s="64"/>
      <c r="D299" s="294"/>
      <c r="E299" s="301"/>
      <c r="F299" s="284" t="str">
        <f>E292</f>
        <v>Dues and Fees</v>
      </c>
      <c r="G299" s="679">
        <f>C292</f>
        <v>6810</v>
      </c>
      <c r="H299" s="556">
        <f>SUBTOTAL(9,H293:H298)</f>
        <v>2137</v>
      </c>
      <c r="J299" s="629"/>
      <c r="K299" s="623">
        <f>SUBTOTAL(9,K293:K298)</f>
        <v>190</v>
      </c>
      <c r="L299" s="623">
        <f t="shared" ref="L299:V299" si="127">SUBTOTAL(9,L293:L298)</f>
        <v>70</v>
      </c>
      <c r="M299" s="623">
        <f t="shared" si="127"/>
        <v>1270</v>
      </c>
      <c r="N299" s="623">
        <f t="shared" si="127"/>
        <v>10</v>
      </c>
      <c r="O299" s="623">
        <f t="shared" si="127"/>
        <v>10</v>
      </c>
      <c r="P299" s="623">
        <f t="shared" si="127"/>
        <v>70</v>
      </c>
      <c r="Q299" s="623">
        <f t="shared" si="127"/>
        <v>70</v>
      </c>
      <c r="R299" s="623">
        <f t="shared" si="127"/>
        <v>100</v>
      </c>
      <c r="S299" s="623">
        <f t="shared" si="127"/>
        <v>317</v>
      </c>
      <c r="T299" s="623">
        <f t="shared" si="127"/>
        <v>10</v>
      </c>
      <c r="U299" s="623">
        <f t="shared" si="127"/>
        <v>10</v>
      </c>
      <c r="V299" s="623">
        <f t="shared" si="127"/>
        <v>10</v>
      </c>
      <c r="W299" s="623">
        <f>SUBTOTAL(9,W293:W298)</f>
        <v>2137</v>
      </c>
      <c r="X299" s="63" t="str">
        <f>IF(H299=W299,"OK","Error")</f>
        <v>OK</v>
      </c>
      <c r="Y299" s="289">
        <v>0</v>
      </c>
      <c r="Z299" s="289">
        <f>H299-Y299</f>
        <v>2137</v>
      </c>
    </row>
    <row r="300" spans="3:26" s="63" customFormat="1" ht="12" x14ac:dyDescent="0.2">
      <c r="C300" s="64"/>
      <c r="D300" s="294"/>
      <c r="E300" s="301"/>
      <c r="F300" s="281"/>
      <c r="G300" s="678"/>
      <c r="H300" s="552"/>
      <c r="J300" s="622"/>
      <c r="K300" s="560"/>
      <c r="L300" s="560"/>
      <c r="M300" s="560"/>
      <c r="N300" s="560"/>
      <c r="O300" s="560"/>
      <c r="P300" s="560"/>
      <c r="Q300" s="560"/>
      <c r="R300" s="560"/>
      <c r="S300" s="560"/>
      <c r="T300" s="560"/>
      <c r="U300" s="560"/>
      <c r="V300" s="560"/>
      <c r="W300" s="552"/>
      <c r="Y300" s="289"/>
      <c r="Z300" s="289"/>
    </row>
    <row r="301" spans="3:26" s="63" customFormat="1" ht="12" x14ac:dyDescent="0.2">
      <c r="C301" s="66" t="s">
        <v>43</v>
      </c>
      <c r="D301" s="294"/>
      <c r="E301" s="301"/>
      <c r="F301" s="281"/>
      <c r="G301" s="678"/>
      <c r="H301" s="552"/>
      <c r="J301" s="622"/>
      <c r="K301" s="560"/>
      <c r="L301" s="560"/>
      <c r="M301" s="560"/>
      <c r="N301" s="560"/>
      <c r="O301" s="560"/>
      <c r="P301" s="560"/>
      <c r="Q301" s="560"/>
      <c r="R301" s="560"/>
      <c r="S301" s="560"/>
      <c r="T301" s="560"/>
      <c r="U301" s="560"/>
      <c r="V301" s="560"/>
      <c r="W301" s="552"/>
      <c r="Y301" s="289"/>
      <c r="Z301" s="289"/>
    </row>
    <row r="302" spans="3:26" s="63" customFormat="1" ht="12" outlineLevel="1" x14ac:dyDescent="0.2">
      <c r="C302" s="208">
        <v>7306</v>
      </c>
      <c r="D302" s="294"/>
      <c r="E302" s="301" t="s">
        <v>43</v>
      </c>
      <c r="F302" s="281"/>
      <c r="G302" s="678"/>
      <c r="H302" s="552"/>
      <c r="J302" s="622"/>
      <c r="K302" s="560"/>
      <c r="L302" s="560"/>
      <c r="M302" s="560"/>
      <c r="N302" s="560"/>
      <c r="O302" s="560"/>
      <c r="P302" s="560"/>
      <c r="Q302" s="560"/>
      <c r="R302" s="560"/>
      <c r="S302" s="560"/>
      <c r="T302" s="560"/>
      <c r="U302" s="560"/>
      <c r="V302" s="560"/>
      <c r="W302" s="552"/>
      <c r="Y302" s="289"/>
      <c r="Z302" s="289"/>
    </row>
    <row r="303" spans="3:26" s="63" customFormat="1" ht="12" outlineLevel="1" x14ac:dyDescent="0.2">
      <c r="C303" s="64"/>
      <c r="D303" s="595" t="s">
        <v>258</v>
      </c>
      <c r="E303" s="596"/>
      <c r="F303" s="597">
        <v>0</v>
      </c>
      <c r="G303" s="614">
        <v>0</v>
      </c>
      <c r="H303" s="618">
        <f>IF(J303="NO", F303*G303,SUM(J303:V303))</f>
        <v>0</v>
      </c>
      <c r="J303" s="631" t="s">
        <v>542</v>
      </c>
      <c r="K303" s="614">
        <f t="shared" ref="K303:V307" si="128">$F303*$G303/12</f>
        <v>0</v>
      </c>
      <c r="L303" s="614">
        <f t="shared" si="128"/>
        <v>0</v>
      </c>
      <c r="M303" s="614">
        <f t="shared" si="128"/>
        <v>0</v>
      </c>
      <c r="N303" s="614">
        <f t="shared" si="128"/>
        <v>0</v>
      </c>
      <c r="O303" s="614">
        <f t="shared" si="128"/>
        <v>0</v>
      </c>
      <c r="P303" s="614">
        <f t="shared" si="128"/>
        <v>0</v>
      </c>
      <c r="Q303" s="614">
        <f t="shared" si="128"/>
        <v>0</v>
      </c>
      <c r="R303" s="614">
        <f t="shared" si="128"/>
        <v>0</v>
      </c>
      <c r="S303" s="614">
        <f t="shared" si="128"/>
        <v>0</v>
      </c>
      <c r="T303" s="614">
        <f t="shared" si="128"/>
        <v>0</v>
      </c>
      <c r="U303" s="614">
        <f t="shared" si="128"/>
        <v>0</v>
      </c>
      <c r="V303" s="614">
        <f t="shared" si="128"/>
        <v>0</v>
      </c>
      <c r="W303" s="637">
        <f t="shared" ref="W303:W307" si="129">SUM(K303:V303)</f>
        <v>0</v>
      </c>
      <c r="Y303" s="289"/>
      <c r="Z303" s="289"/>
    </row>
    <row r="304" spans="3:26" s="63" customFormat="1" ht="12" outlineLevel="1" x14ac:dyDescent="0.2">
      <c r="C304" s="64"/>
      <c r="D304" s="595" t="s">
        <v>258</v>
      </c>
      <c r="E304" s="596"/>
      <c r="F304" s="597">
        <v>0</v>
      </c>
      <c r="G304" s="614">
        <v>0</v>
      </c>
      <c r="H304" s="618">
        <f t="shared" ref="H304:H307" si="130">IF(J304="NO", F304*G304,SUM(J304:V304))</f>
        <v>0</v>
      </c>
      <c r="J304" s="631" t="s">
        <v>542</v>
      </c>
      <c r="K304" s="614">
        <f t="shared" si="128"/>
        <v>0</v>
      </c>
      <c r="L304" s="614">
        <f t="shared" si="128"/>
        <v>0</v>
      </c>
      <c r="M304" s="614">
        <f t="shared" si="128"/>
        <v>0</v>
      </c>
      <c r="N304" s="614">
        <f t="shared" si="128"/>
        <v>0</v>
      </c>
      <c r="O304" s="614">
        <f t="shared" si="128"/>
        <v>0</v>
      </c>
      <c r="P304" s="614">
        <f t="shared" si="128"/>
        <v>0</v>
      </c>
      <c r="Q304" s="614">
        <f t="shared" si="128"/>
        <v>0</v>
      </c>
      <c r="R304" s="614">
        <f t="shared" si="128"/>
        <v>0</v>
      </c>
      <c r="S304" s="614">
        <f t="shared" si="128"/>
        <v>0</v>
      </c>
      <c r="T304" s="614">
        <f t="shared" si="128"/>
        <v>0</v>
      </c>
      <c r="U304" s="614">
        <f t="shared" si="128"/>
        <v>0</v>
      </c>
      <c r="V304" s="614">
        <f t="shared" si="128"/>
        <v>0</v>
      </c>
      <c r="W304" s="637">
        <f t="shared" si="129"/>
        <v>0</v>
      </c>
      <c r="Y304" s="289"/>
      <c r="Z304" s="289"/>
    </row>
    <row r="305" spans="3:26" s="63" customFormat="1" ht="12" outlineLevel="1" x14ac:dyDescent="0.2">
      <c r="C305" s="64"/>
      <c r="D305" s="595" t="s">
        <v>258</v>
      </c>
      <c r="E305" s="596"/>
      <c r="F305" s="597">
        <v>0</v>
      </c>
      <c r="G305" s="614">
        <v>0</v>
      </c>
      <c r="H305" s="618">
        <f t="shared" si="130"/>
        <v>0</v>
      </c>
      <c r="J305" s="631" t="s">
        <v>542</v>
      </c>
      <c r="K305" s="614">
        <f t="shared" si="128"/>
        <v>0</v>
      </c>
      <c r="L305" s="614">
        <f t="shared" si="128"/>
        <v>0</v>
      </c>
      <c r="M305" s="614">
        <f t="shared" si="128"/>
        <v>0</v>
      </c>
      <c r="N305" s="614">
        <f t="shared" si="128"/>
        <v>0</v>
      </c>
      <c r="O305" s="614">
        <f t="shared" si="128"/>
        <v>0</v>
      </c>
      <c r="P305" s="614">
        <f t="shared" si="128"/>
        <v>0</v>
      </c>
      <c r="Q305" s="614">
        <f t="shared" si="128"/>
        <v>0</v>
      </c>
      <c r="R305" s="614">
        <f t="shared" si="128"/>
        <v>0</v>
      </c>
      <c r="S305" s="614">
        <f t="shared" si="128"/>
        <v>0</v>
      </c>
      <c r="T305" s="614">
        <f t="shared" si="128"/>
        <v>0</v>
      </c>
      <c r="U305" s="614">
        <f t="shared" si="128"/>
        <v>0</v>
      </c>
      <c r="V305" s="614">
        <f t="shared" si="128"/>
        <v>0</v>
      </c>
      <c r="W305" s="637">
        <f t="shared" si="129"/>
        <v>0</v>
      </c>
      <c r="Y305" s="289"/>
      <c r="Z305" s="289"/>
    </row>
    <row r="306" spans="3:26" s="63" customFormat="1" ht="12" outlineLevel="1" x14ac:dyDescent="0.2">
      <c r="C306" s="64"/>
      <c r="D306" s="595" t="s">
        <v>258</v>
      </c>
      <c r="E306" s="596"/>
      <c r="F306" s="597">
        <v>0</v>
      </c>
      <c r="G306" s="614">
        <v>0</v>
      </c>
      <c r="H306" s="618">
        <f t="shared" si="130"/>
        <v>0</v>
      </c>
      <c r="J306" s="631" t="s">
        <v>542</v>
      </c>
      <c r="K306" s="614">
        <f t="shared" si="128"/>
        <v>0</v>
      </c>
      <c r="L306" s="614">
        <f t="shared" si="128"/>
        <v>0</v>
      </c>
      <c r="M306" s="614">
        <f t="shared" si="128"/>
        <v>0</v>
      </c>
      <c r="N306" s="614">
        <f t="shared" si="128"/>
        <v>0</v>
      </c>
      <c r="O306" s="614">
        <f t="shared" si="128"/>
        <v>0</v>
      </c>
      <c r="P306" s="614">
        <f t="shared" si="128"/>
        <v>0</v>
      </c>
      <c r="Q306" s="614">
        <f t="shared" si="128"/>
        <v>0</v>
      </c>
      <c r="R306" s="614">
        <f t="shared" si="128"/>
        <v>0</v>
      </c>
      <c r="S306" s="614">
        <f t="shared" si="128"/>
        <v>0</v>
      </c>
      <c r="T306" s="614">
        <f t="shared" si="128"/>
        <v>0</v>
      </c>
      <c r="U306" s="614">
        <f t="shared" si="128"/>
        <v>0</v>
      </c>
      <c r="V306" s="614">
        <f t="shared" si="128"/>
        <v>0</v>
      </c>
      <c r="W306" s="637">
        <f t="shared" si="129"/>
        <v>0</v>
      </c>
      <c r="Y306" s="289"/>
      <c r="Z306" s="289"/>
    </row>
    <row r="307" spans="3:26" s="63" customFormat="1" ht="12" outlineLevel="1" x14ac:dyDescent="0.2">
      <c r="C307" s="64"/>
      <c r="D307" s="595" t="s">
        <v>258</v>
      </c>
      <c r="E307" s="596"/>
      <c r="F307" s="597">
        <v>0</v>
      </c>
      <c r="G307" s="614">
        <v>0</v>
      </c>
      <c r="H307" s="618">
        <f t="shared" si="130"/>
        <v>0</v>
      </c>
      <c r="J307" s="631" t="s">
        <v>542</v>
      </c>
      <c r="K307" s="614">
        <f t="shared" si="128"/>
        <v>0</v>
      </c>
      <c r="L307" s="614">
        <f t="shared" si="128"/>
        <v>0</v>
      </c>
      <c r="M307" s="614">
        <f t="shared" si="128"/>
        <v>0</v>
      </c>
      <c r="N307" s="614">
        <f t="shared" si="128"/>
        <v>0</v>
      </c>
      <c r="O307" s="614">
        <f t="shared" si="128"/>
        <v>0</v>
      </c>
      <c r="P307" s="614">
        <f t="shared" si="128"/>
        <v>0</v>
      </c>
      <c r="Q307" s="614">
        <f t="shared" si="128"/>
        <v>0</v>
      </c>
      <c r="R307" s="614">
        <f t="shared" si="128"/>
        <v>0</v>
      </c>
      <c r="S307" s="614">
        <f t="shared" si="128"/>
        <v>0</v>
      </c>
      <c r="T307" s="614">
        <f t="shared" si="128"/>
        <v>0</v>
      </c>
      <c r="U307" s="614">
        <f t="shared" si="128"/>
        <v>0</v>
      </c>
      <c r="V307" s="614">
        <f t="shared" si="128"/>
        <v>0</v>
      </c>
      <c r="W307" s="637">
        <f t="shared" si="129"/>
        <v>0</v>
      </c>
      <c r="Y307" s="289"/>
      <c r="Z307" s="289"/>
    </row>
    <row r="308" spans="3:26" s="63" customFormat="1" ht="3.6" customHeight="1" outlineLevel="1" thickBot="1" x14ac:dyDescent="0.25">
      <c r="C308" s="64"/>
      <c r="D308" s="296"/>
      <c r="E308" s="302"/>
      <c r="F308" s="283"/>
      <c r="G308" s="619"/>
      <c r="H308" s="555"/>
      <c r="J308" s="627"/>
      <c r="K308" s="562"/>
      <c r="L308" s="562"/>
      <c r="M308" s="562"/>
      <c r="N308" s="562"/>
      <c r="O308" s="562"/>
      <c r="P308" s="562"/>
      <c r="Q308" s="562"/>
      <c r="R308" s="562"/>
      <c r="S308" s="562"/>
      <c r="T308" s="562"/>
      <c r="U308" s="562"/>
      <c r="V308" s="562"/>
      <c r="W308" s="555"/>
      <c r="Y308" s="289"/>
      <c r="Z308" s="289"/>
    </row>
    <row r="309" spans="3:26" s="63" customFormat="1" ht="12.75" thickBot="1" x14ac:dyDescent="0.25">
      <c r="C309" s="64"/>
      <c r="D309" s="294"/>
      <c r="E309" s="301"/>
      <c r="F309" s="284" t="str">
        <f>E302</f>
        <v>General</v>
      </c>
      <c r="G309" s="679">
        <f>C302</f>
        <v>7306</v>
      </c>
      <c r="H309" s="556">
        <f>SUBTOTAL(9,H303:H308)</f>
        <v>0</v>
      </c>
      <c r="J309" s="629"/>
      <c r="K309" s="623">
        <f>SUBTOTAL(9,K303:K308)</f>
        <v>0</v>
      </c>
      <c r="L309" s="623">
        <f t="shared" ref="L309" si="131">SUBTOTAL(9,L303:L308)</f>
        <v>0</v>
      </c>
      <c r="M309" s="623">
        <f t="shared" ref="M309" si="132">SUBTOTAL(9,M303:M308)</f>
        <v>0</v>
      </c>
      <c r="N309" s="623">
        <f t="shared" ref="N309" si="133">SUBTOTAL(9,N303:N308)</f>
        <v>0</v>
      </c>
      <c r="O309" s="623">
        <f t="shared" ref="O309" si="134">SUBTOTAL(9,O303:O308)</f>
        <v>0</v>
      </c>
      <c r="P309" s="623">
        <f t="shared" ref="P309" si="135">SUBTOTAL(9,P303:P308)</f>
        <v>0</v>
      </c>
      <c r="Q309" s="623">
        <f t="shared" ref="Q309" si="136">SUBTOTAL(9,Q303:Q308)</f>
        <v>0</v>
      </c>
      <c r="R309" s="623">
        <f t="shared" ref="R309" si="137">SUBTOTAL(9,R303:R308)</f>
        <v>0</v>
      </c>
      <c r="S309" s="623">
        <f t="shared" ref="S309" si="138">SUBTOTAL(9,S303:S308)</f>
        <v>0</v>
      </c>
      <c r="T309" s="623">
        <f t="shared" ref="T309" si="139">SUBTOTAL(9,T303:T308)</f>
        <v>0</v>
      </c>
      <c r="U309" s="623">
        <f t="shared" ref="U309" si="140">SUBTOTAL(9,U303:U308)</f>
        <v>0</v>
      </c>
      <c r="V309" s="623">
        <f>SUBTOTAL(9,V303:V308)</f>
        <v>0</v>
      </c>
      <c r="W309" s="556">
        <f>SUBTOTAL(9,W303:W308)</f>
        <v>0</v>
      </c>
      <c r="X309" s="63" t="str">
        <f>IF(H309=W309,"OK","Error")</f>
        <v>OK</v>
      </c>
      <c r="Y309" s="289">
        <v>0</v>
      </c>
      <c r="Z309" s="289">
        <f>H309-Y309</f>
        <v>0</v>
      </c>
    </row>
    <row r="310" spans="3:26" s="63" customFormat="1" ht="12" outlineLevel="1" x14ac:dyDescent="0.2">
      <c r="C310" s="64"/>
      <c r="D310" s="294"/>
      <c r="E310" s="301"/>
      <c r="F310" s="281"/>
      <c r="G310" s="678"/>
      <c r="H310" s="552"/>
      <c r="J310" s="622"/>
      <c r="K310" s="560"/>
      <c r="L310" s="560"/>
      <c r="M310" s="560"/>
      <c r="N310" s="560"/>
      <c r="O310" s="560"/>
      <c r="P310" s="560"/>
      <c r="Q310" s="560"/>
      <c r="R310" s="560"/>
      <c r="S310" s="560"/>
      <c r="T310" s="560"/>
      <c r="U310" s="560"/>
      <c r="V310" s="560"/>
      <c r="W310" s="552"/>
      <c r="Y310" s="289"/>
      <c r="Z310" s="289"/>
    </row>
    <row r="311" spans="3:26" s="63" customFormat="1" ht="12" outlineLevel="1" x14ac:dyDescent="0.2">
      <c r="C311" s="64">
        <v>7901</v>
      </c>
      <c r="D311" s="294"/>
      <c r="E311" s="301" t="s">
        <v>177</v>
      </c>
      <c r="F311" s="281"/>
      <c r="G311" s="678"/>
      <c r="H311" s="552"/>
      <c r="J311" s="622"/>
      <c r="K311" s="560"/>
      <c r="L311" s="560"/>
      <c r="M311" s="560"/>
      <c r="N311" s="560"/>
      <c r="O311" s="560"/>
      <c r="P311" s="560"/>
      <c r="Q311" s="560"/>
      <c r="R311" s="560"/>
      <c r="S311" s="560"/>
      <c r="T311" s="560"/>
      <c r="U311" s="560"/>
      <c r="V311" s="560"/>
      <c r="W311" s="552"/>
      <c r="Y311" s="289"/>
      <c r="Z311" s="289"/>
    </row>
    <row r="312" spans="3:26" s="63" customFormat="1" ht="12" outlineLevel="1" x14ac:dyDescent="0.2">
      <c r="C312" s="64"/>
      <c r="D312" s="595" t="s">
        <v>258</v>
      </c>
      <c r="E312" s="596"/>
      <c r="F312" s="597">
        <v>0</v>
      </c>
      <c r="G312" s="614">
        <v>0</v>
      </c>
      <c r="H312" s="618">
        <f>IF(J312="NO", F312*G312,SUM(J312:V312))</f>
        <v>0</v>
      </c>
      <c r="J312" s="631" t="s">
        <v>542</v>
      </c>
      <c r="K312" s="614">
        <f t="shared" ref="K312:V316" si="141">$F312*$G312/12</f>
        <v>0</v>
      </c>
      <c r="L312" s="614">
        <f t="shared" si="141"/>
        <v>0</v>
      </c>
      <c r="M312" s="614">
        <f t="shared" si="141"/>
        <v>0</v>
      </c>
      <c r="N312" s="614">
        <f t="shared" si="141"/>
        <v>0</v>
      </c>
      <c r="O312" s="614">
        <f t="shared" si="141"/>
        <v>0</v>
      </c>
      <c r="P312" s="614">
        <f t="shared" si="141"/>
        <v>0</v>
      </c>
      <c r="Q312" s="614">
        <f t="shared" si="141"/>
        <v>0</v>
      </c>
      <c r="R312" s="614">
        <f t="shared" si="141"/>
        <v>0</v>
      </c>
      <c r="S312" s="614">
        <f t="shared" si="141"/>
        <v>0</v>
      </c>
      <c r="T312" s="614">
        <f t="shared" si="141"/>
        <v>0</v>
      </c>
      <c r="U312" s="614">
        <f t="shared" si="141"/>
        <v>0</v>
      </c>
      <c r="V312" s="614">
        <f t="shared" si="141"/>
        <v>0</v>
      </c>
      <c r="W312" s="637">
        <f t="shared" ref="W312:W316" si="142">SUM(K312:V312)</f>
        <v>0</v>
      </c>
      <c r="Y312" s="289"/>
      <c r="Z312" s="289"/>
    </row>
    <row r="313" spans="3:26" s="63" customFormat="1" ht="12" outlineLevel="1" x14ac:dyDescent="0.2">
      <c r="C313" s="64"/>
      <c r="D313" s="595" t="s">
        <v>258</v>
      </c>
      <c r="E313" s="596"/>
      <c r="F313" s="597">
        <v>0</v>
      </c>
      <c r="G313" s="614">
        <v>0</v>
      </c>
      <c r="H313" s="618">
        <f t="shared" ref="H313:H316" si="143">IF(J313="NO", F313*G313,SUM(J313:V313))</f>
        <v>0</v>
      </c>
      <c r="J313" s="631" t="s">
        <v>542</v>
      </c>
      <c r="K313" s="614">
        <f t="shared" si="141"/>
        <v>0</v>
      </c>
      <c r="L313" s="614">
        <f t="shared" si="141"/>
        <v>0</v>
      </c>
      <c r="M313" s="614">
        <f t="shared" si="141"/>
        <v>0</v>
      </c>
      <c r="N313" s="614">
        <f t="shared" si="141"/>
        <v>0</v>
      </c>
      <c r="O313" s="614">
        <f t="shared" si="141"/>
        <v>0</v>
      </c>
      <c r="P313" s="614">
        <f t="shared" si="141"/>
        <v>0</v>
      </c>
      <c r="Q313" s="614">
        <f t="shared" si="141"/>
        <v>0</v>
      </c>
      <c r="R313" s="614">
        <f t="shared" si="141"/>
        <v>0</v>
      </c>
      <c r="S313" s="614">
        <f t="shared" si="141"/>
        <v>0</v>
      </c>
      <c r="T313" s="614">
        <f t="shared" si="141"/>
        <v>0</v>
      </c>
      <c r="U313" s="614">
        <f t="shared" si="141"/>
        <v>0</v>
      </c>
      <c r="V313" s="614">
        <f t="shared" si="141"/>
        <v>0</v>
      </c>
      <c r="W313" s="637">
        <f t="shared" si="142"/>
        <v>0</v>
      </c>
      <c r="Y313" s="289"/>
      <c r="Z313" s="289"/>
    </row>
    <row r="314" spans="3:26" s="63" customFormat="1" ht="12" outlineLevel="1" x14ac:dyDescent="0.2">
      <c r="C314" s="64"/>
      <c r="D314" s="595" t="s">
        <v>258</v>
      </c>
      <c r="E314" s="596"/>
      <c r="F314" s="597">
        <v>0</v>
      </c>
      <c r="G314" s="614">
        <v>0</v>
      </c>
      <c r="H314" s="618">
        <f t="shared" si="143"/>
        <v>0</v>
      </c>
      <c r="J314" s="631" t="s">
        <v>542</v>
      </c>
      <c r="K314" s="614">
        <f t="shared" si="141"/>
        <v>0</v>
      </c>
      <c r="L314" s="614">
        <f t="shared" si="141"/>
        <v>0</v>
      </c>
      <c r="M314" s="614">
        <f t="shared" si="141"/>
        <v>0</v>
      </c>
      <c r="N314" s="614">
        <f t="shared" si="141"/>
        <v>0</v>
      </c>
      <c r="O314" s="614">
        <f t="shared" si="141"/>
        <v>0</v>
      </c>
      <c r="P314" s="614">
        <f t="shared" si="141"/>
        <v>0</v>
      </c>
      <c r="Q314" s="614">
        <f t="shared" si="141"/>
        <v>0</v>
      </c>
      <c r="R314" s="614">
        <f t="shared" si="141"/>
        <v>0</v>
      </c>
      <c r="S314" s="614">
        <f t="shared" si="141"/>
        <v>0</v>
      </c>
      <c r="T314" s="614">
        <f t="shared" si="141"/>
        <v>0</v>
      </c>
      <c r="U314" s="614">
        <f t="shared" si="141"/>
        <v>0</v>
      </c>
      <c r="V314" s="614">
        <f t="shared" si="141"/>
        <v>0</v>
      </c>
      <c r="W314" s="637">
        <f t="shared" si="142"/>
        <v>0</v>
      </c>
      <c r="Y314" s="289"/>
      <c r="Z314" s="289"/>
    </row>
    <row r="315" spans="3:26" s="63" customFormat="1" ht="12" outlineLevel="1" x14ac:dyDescent="0.2">
      <c r="C315" s="64"/>
      <c r="D315" s="595" t="s">
        <v>258</v>
      </c>
      <c r="E315" s="596"/>
      <c r="F315" s="597">
        <v>0</v>
      </c>
      <c r="G315" s="614">
        <v>0</v>
      </c>
      <c r="H315" s="618">
        <f t="shared" si="143"/>
        <v>0</v>
      </c>
      <c r="J315" s="631" t="s">
        <v>542</v>
      </c>
      <c r="K315" s="614">
        <f t="shared" si="141"/>
        <v>0</v>
      </c>
      <c r="L315" s="614">
        <f t="shared" si="141"/>
        <v>0</v>
      </c>
      <c r="M315" s="614">
        <f t="shared" si="141"/>
        <v>0</v>
      </c>
      <c r="N315" s="614">
        <f t="shared" si="141"/>
        <v>0</v>
      </c>
      <c r="O315" s="614">
        <f t="shared" si="141"/>
        <v>0</v>
      </c>
      <c r="P315" s="614">
        <f t="shared" si="141"/>
        <v>0</v>
      </c>
      <c r="Q315" s="614">
        <f t="shared" si="141"/>
        <v>0</v>
      </c>
      <c r="R315" s="614">
        <f t="shared" si="141"/>
        <v>0</v>
      </c>
      <c r="S315" s="614">
        <f t="shared" si="141"/>
        <v>0</v>
      </c>
      <c r="T315" s="614">
        <f t="shared" si="141"/>
        <v>0</v>
      </c>
      <c r="U315" s="614">
        <f t="shared" si="141"/>
        <v>0</v>
      </c>
      <c r="V315" s="614">
        <f t="shared" si="141"/>
        <v>0</v>
      </c>
      <c r="W315" s="637">
        <f t="shared" si="142"/>
        <v>0</v>
      </c>
      <c r="Y315" s="289"/>
      <c r="Z315" s="289"/>
    </row>
    <row r="316" spans="3:26" s="63" customFormat="1" ht="12" outlineLevel="1" x14ac:dyDescent="0.2">
      <c r="C316" s="64"/>
      <c r="D316" s="595" t="s">
        <v>258</v>
      </c>
      <c r="E316" s="596"/>
      <c r="F316" s="597">
        <v>0</v>
      </c>
      <c r="G316" s="614">
        <v>0</v>
      </c>
      <c r="H316" s="618">
        <f t="shared" si="143"/>
        <v>0</v>
      </c>
      <c r="J316" s="631" t="s">
        <v>542</v>
      </c>
      <c r="K316" s="614">
        <f t="shared" si="141"/>
        <v>0</v>
      </c>
      <c r="L316" s="614">
        <f t="shared" si="141"/>
        <v>0</v>
      </c>
      <c r="M316" s="614">
        <f t="shared" si="141"/>
        <v>0</v>
      </c>
      <c r="N316" s="614">
        <f t="shared" si="141"/>
        <v>0</v>
      </c>
      <c r="O316" s="614">
        <f t="shared" si="141"/>
        <v>0</v>
      </c>
      <c r="P316" s="614">
        <f t="shared" si="141"/>
        <v>0</v>
      </c>
      <c r="Q316" s="614">
        <f t="shared" si="141"/>
        <v>0</v>
      </c>
      <c r="R316" s="614">
        <f t="shared" si="141"/>
        <v>0</v>
      </c>
      <c r="S316" s="614">
        <f t="shared" si="141"/>
        <v>0</v>
      </c>
      <c r="T316" s="614">
        <f t="shared" si="141"/>
        <v>0</v>
      </c>
      <c r="U316" s="614">
        <f t="shared" si="141"/>
        <v>0</v>
      </c>
      <c r="V316" s="614">
        <f t="shared" si="141"/>
        <v>0</v>
      </c>
      <c r="W316" s="637">
        <f t="shared" si="142"/>
        <v>0</v>
      </c>
      <c r="Y316" s="289"/>
      <c r="Z316" s="289"/>
    </row>
    <row r="317" spans="3:26" s="63" customFormat="1" ht="3.6" customHeight="1" outlineLevel="1" thickBot="1" x14ac:dyDescent="0.25">
      <c r="C317" s="64"/>
      <c r="D317" s="296"/>
      <c r="E317" s="302"/>
      <c r="F317" s="283"/>
      <c r="G317" s="619"/>
      <c r="H317" s="555"/>
      <c r="J317" s="627"/>
      <c r="K317" s="562"/>
      <c r="L317" s="562"/>
      <c r="M317" s="562"/>
      <c r="N317" s="562"/>
      <c r="O317" s="562"/>
      <c r="P317" s="562"/>
      <c r="Q317" s="562"/>
      <c r="R317" s="562"/>
      <c r="S317" s="562"/>
      <c r="T317" s="562"/>
      <c r="U317" s="562"/>
      <c r="V317" s="562"/>
      <c r="W317" s="555"/>
      <c r="Y317" s="289"/>
      <c r="Z317" s="289"/>
    </row>
    <row r="318" spans="3:26" s="63" customFormat="1" ht="12.75" thickBot="1" x14ac:dyDescent="0.25">
      <c r="C318" s="64"/>
      <c r="D318" s="294"/>
      <c r="E318" s="301"/>
      <c r="F318" s="284" t="str">
        <f>E311</f>
        <v>Depreciation</v>
      </c>
      <c r="G318" s="679">
        <f>C311</f>
        <v>7901</v>
      </c>
      <c r="H318" s="556">
        <f>SUBTOTAL(9,H312:H317)</f>
        <v>0</v>
      </c>
      <c r="J318" s="629"/>
      <c r="K318" s="623">
        <f>SUBTOTAL(9,K312:K317)</f>
        <v>0</v>
      </c>
      <c r="L318" s="623">
        <f t="shared" ref="L318" si="144">SUBTOTAL(9,L312:L317)</f>
        <v>0</v>
      </c>
      <c r="M318" s="623">
        <f t="shared" ref="M318" si="145">SUBTOTAL(9,M312:M317)</f>
        <v>0</v>
      </c>
      <c r="N318" s="623">
        <f t="shared" ref="N318" si="146">SUBTOTAL(9,N312:N317)</f>
        <v>0</v>
      </c>
      <c r="O318" s="623">
        <f t="shared" ref="O318" si="147">SUBTOTAL(9,O312:O317)</f>
        <v>0</v>
      </c>
      <c r="P318" s="623">
        <f t="shared" ref="P318" si="148">SUBTOTAL(9,P312:P317)</f>
        <v>0</v>
      </c>
      <c r="Q318" s="623">
        <f t="shared" ref="Q318" si="149">SUBTOTAL(9,Q312:Q317)</f>
        <v>0</v>
      </c>
      <c r="R318" s="623">
        <f t="shared" ref="R318" si="150">SUBTOTAL(9,R312:R317)</f>
        <v>0</v>
      </c>
      <c r="S318" s="623">
        <f t="shared" ref="S318" si="151">SUBTOTAL(9,S312:S317)</f>
        <v>0</v>
      </c>
      <c r="T318" s="623">
        <f t="shared" ref="T318" si="152">SUBTOTAL(9,T312:T317)</f>
        <v>0</v>
      </c>
      <c r="U318" s="623">
        <f t="shared" ref="U318" si="153">SUBTOTAL(9,U312:U317)</f>
        <v>0</v>
      </c>
      <c r="V318" s="623">
        <f>SUBTOTAL(9,V312:V317)</f>
        <v>0</v>
      </c>
      <c r="W318" s="556">
        <f>SUBTOTAL(9,W312:W317)</f>
        <v>0</v>
      </c>
      <c r="X318" s="63" t="str">
        <f>IF(H318=W318,"OK","Error")</f>
        <v>OK</v>
      </c>
      <c r="Y318" s="289">
        <v>0</v>
      </c>
      <c r="Z318" s="289">
        <f>H318-Y318</f>
        <v>0</v>
      </c>
    </row>
    <row r="319" spans="3:26" s="63" customFormat="1" ht="12" x14ac:dyDescent="0.2">
      <c r="C319" s="64"/>
      <c r="D319" s="294"/>
      <c r="E319" s="301"/>
      <c r="F319" s="281"/>
      <c r="G319" s="678"/>
      <c r="H319" s="552"/>
      <c r="J319" s="622"/>
      <c r="K319" s="560"/>
      <c r="L319" s="560"/>
      <c r="M319" s="560"/>
      <c r="N319" s="560"/>
      <c r="O319" s="560"/>
      <c r="P319" s="560"/>
      <c r="Q319" s="560"/>
      <c r="R319" s="560"/>
      <c r="S319" s="560"/>
      <c r="T319" s="560"/>
      <c r="U319" s="560"/>
      <c r="V319" s="560"/>
      <c r="W319" s="552"/>
      <c r="Y319" s="289"/>
      <c r="Z319" s="289"/>
    </row>
    <row r="320" spans="3:26" s="63" customFormat="1" ht="12" x14ac:dyDescent="0.2">
      <c r="C320" s="64"/>
      <c r="D320" s="294"/>
      <c r="E320" s="301"/>
      <c r="F320" s="281"/>
      <c r="G320" s="678"/>
      <c r="H320" s="552"/>
      <c r="J320" s="622"/>
      <c r="K320" s="560"/>
      <c r="L320" s="560"/>
      <c r="M320" s="560"/>
      <c r="N320" s="560"/>
      <c r="O320" s="560"/>
      <c r="P320" s="560"/>
      <c r="Q320" s="560"/>
      <c r="R320" s="560"/>
      <c r="S320" s="560"/>
      <c r="T320" s="560"/>
      <c r="U320" s="560"/>
      <c r="V320" s="560"/>
      <c r="W320" s="552"/>
      <c r="Y320" s="289"/>
      <c r="Z320" s="289"/>
    </row>
    <row r="321" spans="3:26" s="63" customFormat="1" ht="12" x14ac:dyDescent="0.2">
      <c r="C321" s="64"/>
      <c r="D321" s="294"/>
      <c r="E321" s="301"/>
      <c r="F321" s="281"/>
      <c r="G321" s="678"/>
      <c r="H321" s="552"/>
      <c r="J321" s="622"/>
      <c r="K321" s="560"/>
      <c r="L321" s="560"/>
      <c r="M321" s="560"/>
      <c r="N321" s="560"/>
      <c r="O321" s="560"/>
      <c r="P321" s="560"/>
      <c r="Q321" s="560"/>
      <c r="R321" s="560"/>
      <c r="S321" s="560"/>
      <c r="T321" s="560"/>
      <c r="U321" s="560"/>
      <c r="V321" s="560"/>
      <c r="W321" s="552"/>
      <c r="Y321" s="289"/>
      <c r="Z321" s="289"/>
    </row>
    <row r="322" spans="3:26" s="63" customFormat="1" ht="12" x14ac:dyDescent="0.2">
      <c r="C322" s="64"/>
      <c r="D322" s="294"/>
      <c r="E322" s="301"/>
      <c r="F322" s="281"/>
      <c r="G322" s="678"/>
      <c r="H322" s="552"/>
      <c r="J322" s="622"/>
      <c r="K322" s="560"/>
      <c r="L322" s="560"/>
      <c r="M322" s="560"/>
      <c r="N322" s="560"/>
      <c r="O322" s="560"/>
      <c r="P322" s="560"/>
      <c r="Q322" s="560"/>
      <c r="R322" s="560"/>
      <c r="S322" s="560"/>
      <c r="T322" s="560"/>
      <c r="U322" s="560"/>
      <c r="V322" s="560"/>
      <c r="W322" s="552"/>
      <c r="Y322" s="289"/>
      <c r="Z322" s="289"/>
    </row>
    <row r="323" spans="3:26" s="63" customFormat="1" ht="12" x14ac:dyDescent="0.2">
      <c r="C323" s="64"/>
      <c r="D323" s="294"/>
      <c r="E323" s="301"/>
      <c r="F323" s="281"/>
      <c r="G323" s="678"/>
      <c r="H323" s="552"/>
      <c r="J323" s="622"/>
      <c r="K323" s="560"/>
      <c r="L323" s="560"/>
      <c r="M323" s="560"/>
      <c r="N323" s="560"/>
      <c r="O323" s="560"/>
      <c r="P323" s="560"/>
      <c r="Q323" s="560"/>
      <c r="R323" s="560"/>
      <c r="S323" s="560"/>
      <c r="T323" s="560"/>
      <c r="U323" s="560"/>
      <c r="V323" s="560"/>
      <c r="W323" s="552"/>
      <c r="Y323" s="289"/>
      <c r="Z323" s="289"/>
    </row>
    <row r="324" spans="3:26" s="63" customFormat="1" ht="12" x14ac:dyDescent="0.2">
      <c r="C324" s="64"/>
      <c r="D324" s="294"/>
      <c r="E324" s="301"/>
      <c r="F324" s="281"/>
      <c r="G324" s="678"/>
      <c r="H324" s="552"/>
      <c r="J324" s="622"/>
      <c r="K324" s="560"/>
      <c r="L324" s="560"/>
      <c r="M324" s="560"/>
      <c r="N324" s="560"/>
      <c r="O324" s="560"/>
      <c r="P324" s="560"/>
      <c r="Q324" s="560"/>
      <c r="R324" s="560"/>
      <c r="S324" s="560"/>
      <c r="T324" s="560"/>
      <c r="U324" s="560"/>
      <c r="V324" s="560"/>
      <c r="W324" s="552"/>
      <c r="Y324" s="289"/>
      <c r="Z324" s="289"/>
    </row>
    <row r="325" spans="3:26" s="63" customFormat="1" ht="12" x14ac:dyDescent="0.2">
      <c r="C325" s="64"/>
      <c r="D325" s="294"/>
      <c r="E325" s="301"/>
      <c r="F325" s="281"/>
      <c r="G325" s="678"/>
      <c r="H325" s="552"/>
      <c r="J325" s="622"/>
      <c r="K325" s="560"/>
      <c r="L325" s="560"/>
      <c r="M325" s="560"/>
      <c r="N325" s="560"/>
      <c r="O325" s="560"/>
      <c r="P325" s="560"/>
      <c r="Q325" s="560"/>
      <c r="R325" s="560"/>
      <c r="S325" s="560"/>
      <c r="T325" s="560"/>
      <c r="U325" s="560"/>
      <c r="V325" s="560"/>
      <c r="W325" s="552"/>
      <c r="Y325" s="289"/>
      <c r="Z325" s="289"/>
    </row>
    <row r="326" spans="3:26" s="63" customFormat="1" ht="12" x14ac:dyDescent="0.2">
      <c r="C326" s="64"/>
      <c r="D326" s="294"/>
      <c r="E326" s="301"/>
      <c r="F326" s="281"/>
      <c r="G326" s="678"/>
      <c r="H326" s="552"/>
      <c r="J326" s="622"/>
      <c r="K326" s="560"/>
      <c r="L326" s="560"/>
      <c r="M326" s="560"/>
      <c r="N326" s="560"/>
      <c r="O326" s="560"/>
      <c r="P326" s="560"/>
      <c r="Q326" s="560"/>
      <c r="R326" s="560"/>
      <c r="S326" s="560"/>
      <c r="T326" s="560"/>
      <c r="U326" s="560"/>
      <c r="V326" s="560"/>
      <c r="W326" s="552"/>
      <c r="Y326" s="289"/>
      <c r="Z326" s="289"/>
    </row>
    <row r="327" spans="3:26" s="63" customFormat="1" ht="12" x14ac:dyDescent="0.2">
      <c r="C327" s="64"/>
      <c r="D327" s="294"/>
      <c r="E327" s="301"/>
      <c r="F327" s="281"/>
      <c r="G327" s="678"/>
      <c r="H327" s="552"/>
      <c r="J327" s="622"/>
      <c r="K327" s="560"/>
      <c r="L327" s="560"/>
      <c r="M327" s="560"/>
      <c r="N327" s="560"/>
      <c r="O327" s="560"/>
      <c r="P327" s="560"/>
      <c r="Q327" s="560"/>
      <c r="R327" s="560"/>
      <c r="S327" s="560"/>
      <c r="T327" s="560"/>
      <c r="U327" s="560"/>
      <c r="V327" s="560"/>
      <c r="W327" s="552"/>
      <c r="Y327" s="289"/>
      <c r="Z327" s="289"/>
    </row>
    <row r="328" spans="3:26" s="63" customFormat="1" ht="12" x14ac:dyDescent="0.2">
      <c r="C328" s="64"/>
      <c r="D328" s="294"/>
      <c r="E328" s="301"/>
      <c r="F328" s="281"/>
      <c r="G328" s="678"/>
      <c r="H328" s="552"/>
      <c r="J328" s="622"/>
      <c r="K328" s="560"/>
      <c r="L328" s="560"/>
      <c r="M328" s="560"/>
      <c r="N328" s="560"/>
      <c r="O328" s="560"/>
      <c r="P328" s="560"/>
      <c r="Q328" s="560"/>
      <c r="R328" s="560"/>
      <c r="S328" s="560"/>
      <c r="T328" s="560"/>
      <c r="U328" s="560"/>
      <c r="V328" s="560"/>
      <c r="W328" s="552"/>
      <c r="Y328" s="289"/>
      <c r="Z328" s="289"/>
    </row>
    <row r="329" spans="3:26" s="63" customFormat="1" ht="12" x14ac:dyDescent="0.2">
      <c r="C329" s="64"/>
      <c r="D329" s="294"/>
      <c r="E329" s="301"/>
      <c r="F329" s="281"/>
      <c r="G329" s="678"/>
      <c r="H329" s="552"/>
      <c r="J329" s="622"/>
      <c r="K329" s="560"/>
      <c r="L329" s="560"/>
      <c r="M329" s="560"/>
      <c r="N329" s="560"/>
      <c r="O329" s="560"/>
      <c r="P329" s="560"/>
      <c r="Q329" s="560"/>
      <c r="R329" s="560"/>
      <c r="S329" s="560"/>
      <c r="T329" s="560"/>
      <c r="U329" s="560"/>
      <c r="V329" s="560"/>
      <c r="W329" s="552"/>
      <c r="Y329" s="289"/>
      <c r="Z329" s="289"/>
    </row>
    <row r="330" spans="3:26" s="63" customFormat="1" ht="12" x14ac:dyDescent="0.2">
      <c r="C330" s="64"/>
      <c r="D330" s="294"/>
      <c r="E330" s="301"/>
      <c r="F330" s="281"/>
      <c r="G330" s="678"/>
      <c r="H330" s="552"/>
      <c r="J330" s="622"/>
      <c r="K330" s="560"/>
      <c r="L330" s="560"/>
      <c r="M330" s="560"/>
      <c r="N330" s="560"/>
      <c r="O330" s="560"/>
      <c r="P330" s="560"/>
      <c r="Q330" s="560"/>
      <c r="R330" s="560"/>
      <c r="S330" s="560"/>
      <c r="T330" s="560"/>
      <c r="U330" s="560"/>
      <c r="V330" s="560"/>
      <c r="W330" s="552"/>
      <c r="Y330" s="289"/>
      <c r="Z330" s="289"/>
    </row>
    <row r="331" spans="3:26" s="63" customFormat="1" ht="12" x14ac:dyDescent="0.2">
      <c r="C331" s="64"/>
      <c r="D331" s="294"/>
      <c r="E331" s="301"/>
      <c r="F331" s="281"/>
      <c r="G331" s="678"/>
      <c r="H331" s="552"/>
      <c r="J331" s="622"/>
      <c r="K331" s="560"/>
      <c r="L331" s="560"/>
      <c r="M331" s="560"/>
      <c r="N331" s="560"/>
      <c r="O331" s="560"/>
      <c r="P331" s="560"/>
      <c r="Q331" s="560"/>
      <c r="R331" s="560"/>
      <c r="S331" s="560"/>
      <c r="T331" s="560"/>
      <c r="U331" s="560"/>
      <c r="V331" s="560"/>
      <c r="W331" s="552"/>
      <c r="Y331" s="289"/>
      <c r="Z331" s="289"/>
    </row>
    <row r="332" spans="3:26" s="63" customFormat="1" ht="12" x14ac:dyDescent="0.2">
      <c r="C332" s="64"/>
      <c r="D332" s="294"/>
      <c r="E332" s="301"/>
      <c r="F332" s="281"/>
      <c r="G332" s="678"/>
      <c r="H332" s="552"/>
      <c r="J332" s="622"/>
      <c r="K332" s="560"/>
      <c r="L332" s="560"/>
      <c r="M332" s="560"/>
      <c r="N332" s="560"/>
      <c r="O332" s="560"/>
      <c r="P332" s="560"/>
      <c r="Q332" s="560"/>
      <c r="R332" s="560"/>
      <c r="S332" s="560"/>
      <c r="T332" s="560"/>
      <c r="U332" s="560"/>
      <c r="V332" s="560"/>
      <c r="W332" s="552"/>
      <c r="Y332" s="289"/>
      <c r="Z332" s="289"/>
    </row>
    <row r="333" spans="3:26" s="63" customFormat="1" ht="12" x14ac:dyDescent="0.2">
      <c r="C333" s="64"/>
      <c r="D333" s="294"/>
      <c r="E333" s="301"/>
      <c r="F333" s="281"/>
      <c r="G333" s="678"/>
      <c r="H333" s="552"/>
      <c r="J333" s="622"/>
      <c r="K333" s="560"/>
      <c r="L333" s="560"/>
      <c r="M333" s="560"/>
      <c r="N333" s="560"/>
      <c r="O333" s="560"/>
      <c r="P333" s="560"/>
      <c r="Q333" s="560"/>
      <c r="R333" s="560"/>
      <c r="S333" s="560"/>
      <c r="T333" s="560"/>
      <c r="U333" s="560"/>
      <c r="V333" s="560"/>
      <c r="W333" s="552"/>
      <c r="Y333" s="289"/>
      <c r="Z333" s="289"/>
    </row>
    <row r="334" spans="3:26" s="63" customFormat="1" ht="12" x14ac:dyDescent="0.2">
      <c r="C334" s="64"/>
      <c r="D334" s="294"/>
      <c r="E334" s="301"/>
      <c r="F334" s="281"/>
      <c r="G334" s="678"/>
      <c r="H334" s="552"/>
      <c r="J334" s="622"/>
      <c r="K334" s="560"/>
      <c r="L334" s="560"/>
      <c r="M334" s="560"/>
      <c r="N334" s="560"/>
      <c r="O334" s="560"/>
      <c r="P334" s="560"/>
      <c r="Q334" s="560"/>
      <c r="R334" s="560"/>
      <c r="S334" s="560"/>
      <c r="T334" s="560"/>
      <c r="U334" s="560"/>
      <c r="V334" s="560"/>
      <c r="W334" s="552"/>
      <c r="Y334" s="289"/>
      <c r="Z334" s="289"/>
    </row>
    <row r="335" spans="3:26" s="63" customFormat="1" ht="12" x14ac:dyDescent="0.2">
      <c r="C335" s="64"/>
      <c r="D335" s="294"/>
      <c r="E335" s="301"/>
      <c r="F335" s="281"/>
      <c r="G335" s="678"/>
      <c r="H335" s="552"/>
      <c r="J335" s="622"/>
      <c r="K335" s="560"/>
      <c r="L335" s="560"/>
      <c r="M335" s="560"/>
      <c r="N335" s="560"/>
      <c r="O335" s="560"/>
      <c r="P335" s="560"/>
      <c r="Q335" s="560"/>
      <c r="R335" s="560"/>
      <c r="S335" s="560"/>
      <c r="T335" s="560"/>
      <c r="U335" s="560"/>
      <c r="V335" s="560"/>
      <c r="W335" s="552"/>
      <c r="Y335" s="289"/>
      <c r="Z335" s="289"/>
    </row>
    <row r="336" spans="3:26" s="63" customFormat="1" ht="12" x14ac:dyDescent="0.2">
      <c r="C336" s="64"/>
      <c r="D336" s="294"/>
      <c r="E336" s="301"/>
      <c r="F336" s="281"/>
      <c r="G336" s="678"/>
      <c r="H336" s="552"/>
      <c r="J336" s="622"/>
      <c r="K336" s="560"/>
      <c r="L336" s="560"/>
      <c r="M336" s="560"/>
      <c r="N336" s="560"/>
      <c r="O336" s="560"/>
      <c r="P336" s="560"/>
      <c r="Q336" s="560"/>
      <c r="R336" s="560"/>
      <c r="S336" s="560"/>
      <c r="T336" s="560"/>
      <c r="U336" s="560"/>
      <c r="V336" s="560"/>
      <c r="W336" s="552"/>
      <c r="Y336" s="289"/>
      <c r="Z336" s="289"/>
    </row>
    <row r="337" spans="3:26" s="63" customFormat="1" ht="12" x14ac:dyDescent="0.2">
      <c r="C337" s="64"/>
      <c r="D337" s="294"/>
      <c r="E337" s="301"/>
      <c r="F337" s="281"/>
      <c r="G337" s="678"/>
      <c r="H337" s="552"/>
      <c r="J337" s="622"/>
      <c r="K337" s="560"/>
      <c r="L337" s="560"/>
      <c r="M337" s="560"/>
      <c r="N337" s="560"/>
      <c r="O337" s="560"/>
      <c r="P337" s="560"/>
      <c r="Q337" s="560"/>
      <c r="R337" s="560"/>
      <c r="S337" s="560"/>
      <c r="T337" s="560"/>
      <c r="U337" s="560"/>
      <c r="V337" s="560"/>
      <c r="W337" s="552"/>
      <c r="Y337" s="289"/>
      <c r="Z337" s="289"/>
    </row>
    <row r="338" spans="3:26" s="63" customFormat="1" ht="12" x14ac:dyDescent="0.2">
      <c r="C338" s="64"/>
      <c r="D338" s="294"/>
      <c r="E338" s="301"/>
      <c r="F338" s="281"/>
      <c r="G338" s="678"/>
      <c r="H338" s="552"/>
      <c r="J338" s="622"/>
      <c r="K338" s="560"/>
      <c r="L338" s="560"/>
      <c r="M338" s="560"/>
      <c r="N338" s="560"/>
      <c r="O338" s="560"/>
      <c r="P338" s="560"/>
      <c r="Q338" s="560"/>
      <c r="R338" s="560"/>
      <c r="S338" s="560"/>
      <c r="T338" s="560"/>
      <c r="U338" s="560"/>
      <c r="V338" s="560"/>
      <c r="W338" s="552"/>
      <c r="Y338" s="289"/>
      <c r="Z338" s="289"/>
    </row>
    <row r="339" spans="3:26" s="63" customFormat="1" ht="12" x14ac:dyDescent="0.2">
      <c r="C339" s="64"/>
      <c r="D339" s="294"/>
      <c r="E339" s="301"/>
      <c r="F339" s="281"/>
      <c r="G339" s="678"/>
      <c r="H339" s="552"/>
      <c r="J339" s="622"/>
      <c r="K339" s="560"/>
      <c r="L339" s="560"/>
      <c r="M339" s="560"/>
      <c r="N339" s="560"/>
      <c r="O339" s="560"/>
      <c r="P339" s="560"/>
      <c r="Q339" s="560"/>
      <c r="R339" s="560"/>
      <c r="S339" s="560"/>
      <c r="T339" s="560"/>
      <c r="U339" s="560"/>
      <c r="V339" s="560"/>
      <c r="W339" s="552"/>
      <c r="Y339" s="289"/>
      <c r="Z339" s="289"/>
    </row>
    <row r="340" spans="3:26" s="63" customFormat="1" ht="12" x14ac:dyDescent="0.2">
      <c r="C340" s="64"/>
      <c r="D340" s="294"/>
      <c r="E340" s="301"/>
      <c r="F340" s="281"/>
      <c r="G340" s="678"/>
      <c r="H340" s="552"/>
      <c r="J340" s="622"/>
      <c r="K340" s="560"/>
      <c r="L340" s="560"/>
      <c r="M340" s="560"/>
      <c r="N340" s="560"/>
      <c r="O340" s="560"/>
      <c r="P340" s="560"/>
      <c r="Q340" s="560"/>
      <c r="R340" s="560"/>
      <c r="S340" s="560"/>
      <c r="T340" s="560"/>
      <c r="U340" s="560"/>
      <c r="V340" s="560"/>
      <c r="W340" s="552"/>
      <c r="Y340" s="289"/>
      <c r="Z340" s="289"/>
    </row>
    <row r="341" spans="3:26" s="63" customFormat="1" ht="12" x14ac:dyDescent="0.2">
      <c r="C341" s="64"/>
      <c r="D341" s="294"/>
      <c r="E341" s="301"/>
      <c r="F341" s="281"/>
      <c r="G341" s="678"/>
      <c r="H341" s="552"/>
      <c r="J341" s="622"/>
      <c r="K341" s="560"/>
      <c r="L341" s="560"/>
      <c r="M341" s="560"/>
      <c r="N341" s="560"/>
      <c r="O341" s="560"/>
      <c r="P341" s="560"/>
      <c r="Q341" s="560"/>
      <c r="R341" s="560"/>
      <c r="S341" s="560"/>
      <c r="T341" s="560"/>
      <c r="U341" s="560"/>
      <c r="V341" s="560"/>
      <c r="W341" s="552"/>
      <c r="Y341" s="289"/>
      <c r="Z341" s="289"/>
    </row>
    <row r="342" spans="3:26" s="63" customFormat="1" ht="12" x14ac:dyDescent="0.2">
      <c r="C342" s="64"/>
      <c r="D342" s="294"/>
      <c r="E342" s="301"/>
      <c r="F342" s="281"/>
      <c r="G342" s="678"/>
      <c r="H342" s="552"/>
      <c r="J342" s="622"/>
      <c r="K342" s="560"/>
      <c r="L342" s="560"/>
      <c r="M342" s="560"/>
      <c r="N342" s="560"/>
      <c r="O342" s="560"/>
      <c r="P342" s="560"/>
      <c r="Q342" s="560"/>
      <c r="R342" s="560"/>
      <c r="S342" s="560"/>
      <c r="T342" s="560"/>
      <c r="U342" s="560"/>
      <c r="V342" s="560"/>
      <c r="W342" s="552"/>
      <c r="Y342" s="289"/>
      <c r="Z342" s="289"/>
    </row>
    <row r="343" spans="3:26" s="63" customFormat="1" ht="12" x14ac:dyDescent="0.2">
      <c r="C343" s="64"/>
      <c r="D343" s="294"/>
      <c r="E343" s="301"/>
      <c r="F343" s="281"/>
      <c r="G343" s="678"/>
      <c r="H343" s="552"/>
      <c r="J343" s="622"/>
      <c r="K343" s="560"/>
      <c r="L343" s="560"/>
      <c r="M343" s="560"/>
      <c r="N343" s="560"/>
      <c r="O343" s="560"/>
      <c r="P343" s="560"/>
      <c r="Q343" s="560"/>
      <c r="R343" s="560"/>
      <c r="S343" s="560"/>
      <c r="T343" s="560"/>
      <c r="U343" s="560"/>
      <c r="V343" s="560"/>
      <c r="W343" s="552"/>
      <c r="Y343" s="289"/>
      <c r="Z343" s="289"/>
    </row>
    <row r="344" spans="3:26" s="63" customFormat="1" ht="12" x14ac:dyDescent="0.2">
      <c r="C344" s="64"/>
      <c r="D344" s="294"/>
      <c r="E344" s="301"/>
      <c r="F344" s="281"/>
      <c r="G344" s="678"/>
      <c r="H344" s="552"/>
      <c r="J344" s="622"/>
      <c r="K344" s="560"/>
      <c r="L344" s="560"/>
      <c r="M344" s="560"/>
      <c r="N344" s="560"/>
      <c r="O344" s="560"/>
      <c r="P344" s="560"/>
      <c r="Q344" s="560"/>
      <c r="R344" s="560"/>
      <c r="S344" s="560"/>
      <c r="T344" s="560"/>
      <c r="U344" s="560"/>
      <c r="V344" s="560"/>
      <c r="W344" s="552"/>
      <c r="Y344" s="289"/>
      <c r="Z344" s="289"/>
    </row>
    <row r="345" spans="3:26" s="63" customFormat="1" ht="12" x14ac:dyDescent="0.2">
      <c r="C345" s="64"/>
      <c r="D345" s="294"/>
      <c r="E345" s="301"/>
      <c r="F345" s="281"/>
      <c r="G345" s="678"/>
      <c r="H345" s="552"/>
      <c r="J345" s="622"/>
      <c r="K345" s="560"/>
      <c r="L345" s="560"/>
      <c r="M345" s="560"/>
      <c r="N345" s="560"/>
      <c r="O345" s="560"/>
      <c r="P345" s="560"/>
      <c r="Q345" s="560"/>
      <c r="R345" s="560"/>
      <c r="S345" s="560"/>
      <c r="T345" s="560"/>
      <c r="U345" s="560"/>
      <c r="V345" s="560"/>
      <c r="W345" s="552"/>
      <c r="Y345" s="289"/>
      <c r="Z345" s="289"/>
    </row>
    <row r="346" spans="3:26" s="63" customFormat="1" ht="12" x14ac:dyDescent="0.2">
      <c r="C346" s="64"/>
      <c r="D346" s="294"/>
      <c r="E346" s="301"/>
      <c r="F346" s="281"/>
      <c r="G346" s="678"/>
      <c r="H346" s="552"/>
      <c r="J346" s="622"/>
      <c r="K346" s="560"/>
      <c r="L346" s="560"/>
      <c r="M346" s="560"/>
      <c r="N346" s="560"/>
      <c r="O346" s="560"/>
      <c r="P346" s="560"/>
      <c r="Q346" s="560"/>
      <c r="R346" s="560"/>
      <c r="S346" s="560"/>
      <c r="T346" s="560"/>
      <c r="U346" s="560"/>
      <c r="V346" s="560"/>
      <c r="W346" s="552"/>
      <c r="Y346" s="289"/>
      <c r="Z346" s="289"/>
    </row>
    <row r="347" spans="3:26" s="63" customFormat="1" ht="12" x14ac:dyDescent="0.2">
      <c r="C347" s="64"/>
      <c r="D347" s="294"/>
      <c r="E347" s="301"/>
      <c r="F347" s="281"/>
      <c r="G347" s="678"/>
      <c r="H347" s="552"/>
      <c r="J347" s="622"/>
      <c r="K347" s="560"/>
      <c r="L347" s="560"/>
      <c r="M347" s="560"/>
      <c r="N347" s="560"/>
      <c r="O347" s="560"/>
      <c r="P347" s="560"/>
      <c r="Q347" s="560"/>
      <c r="R347" s="560"/>
      <c r="S347" s="560"/>
      <c r="T347" s="560"/>
      <c r="U347" s="560"/>
      <c r="V347" s="560"/>
      <c r="W347" s="552"/>
      <c r="Y347" s="289"/>
      <c r="Z347" s="289"/>
    </row>
    <row r="348" spans="3:26" s="63" customFormat="1" ht="12" x14ac:dyDescent="0.2">
      <c r="C348" s="64"/>
      <c r="D348" s="294"/>
      <c r="E348" s="301"/>
      <c r="F348" s="281"/>
      <c r="G348" s="678"/>
      <c r="H348" s="552"/>
      <c r="J348" s="622"/>
      <c r="K348" s="560"/>
      <c r="L348" s="560"/>
      <c r="M348" s="560"/>
      <c r="N348" s="560"/>
      <c r="O348" s="560"/>
      <c r="P348" s="560"/>
      <c r="Q348" s="560"/>
      <c r="R348" s="560"/>
      <c r="S348" s="560"/>
      <c r="T348" s="560"/>
      <c r="U348" s="560"/>
      <c r="V348" s="560"/>
      <c r="W348" s="552"/>
      <c r="Y348" s="289"/>
      <c r="Z348" s="289"/>
    </row>
    <row r="349" spans="3:26" s="63" customFormat="1" ht="12" x14ac:dyDescent="0.2">
      <c r="C349" s="64"/>
      <c r="D349" s="294"/>
      <c r="E349" s="301"/>
      <c r="F349" s="281"/>
      <c r="G349" s="678"/>
      <c r="H349" s="552"/>
      <c r="J349" s="622"/>
      <c r="K349" s="560"/>
      <c r="L349" s="560"/>
      <c r="M349" s="560"/>
      <c r="N349" s="560"/>
      <c r="O349" s="560"/>
      <c r="P349" s="560"/>
      <c r="Q349" s="560"/>
      <c r="R349" s="560"/>
      <c r="S349" s="560"/>
      <c r="T349" s="560"/>
      <c r="U349" s="560"/>
      <c r="V349" s="560"/>
      <c r="W349" s="552"/>
      <c r="Y349" s="289"/>
      <c r="Z349" s="289"/>
    </row>
    <row r="350" spans="3:26" s="63" customFormat="1" ht="12" x14ac:dyDescent="0.2">
      <c r="C350" s="64"/>
      <c r="D350" s="294"/>
      <c r="E350" s="301"/>
      <c r="F350" s="281"/>
      <c r="G350" s="678"/>
      <c r="H350" s="552"/>
      <c r="J350" s="622"/>
      <c r="K350" s="560"/>
      <c r="L350" s="560"/>
      <c r="M350" s="560"/>
      <c r="N350" s="560"/>
      <c r="O350" s="560"/>
      <c r="P350" s="560"/>
      <c r="Q350" s="560"/>
      <c r="R350" s="560"/>
      <c r="S350" s="560"/>
      <c r="T350" s="560"/>
      <c r="U350" s="560"/>
      <c r="V350" s="560"/>
      <c r="W350" s="552"/>
      <c r="Y350" s="289"/>
      <c r="Z350" s="289"/>
    </row>
    <row r="351" spans="3:26" s="63" customFormat="1" ht="12" x14ac:dyDescent="0.2">
      <c r="C351" s="64"/>
      <c r="D351" s="294"/>
      <c r="E351" s="301"/>
      <c r="F351" s="281"/>
      <c r="G351" s="678"/>
      <c r="H351" s="552"/>
      <c r="J351" s="622"/>
      <c r="K351" s="560"/>
      <c r="L351" s="560"/>
      <c r="M351" s="560"/>
      <c r="N351" s="560"/>
      <c r="O351" s="560"/>
      <c r="P351" s="560"/>
      <c r="Q351" s="560"/>
      <c r="R351" s="560"/>
      <c r="S351" s="560"/>
      <c r="T351" s="560"/>
      <c r="U351" s="560"/>
      <c r="V351" s="560"/>
      <c r="W351" s="552"/>
      <c r="Y351" s="289"/>
      <c r="Z351" s="289"/>
    </row>
    <row r="352" spans="3:26" s="63" customFormat="1" ht="12" x14ac:dyDescent="0.2">
      <c r="C352" s="64"/>
      <c r="D352" s="294"/>
      <c r="E352" s="301"/>
      <c r="F352" s="281"/>
      <c r="G352" s="678"/>
      <c r="H352" s="552"/>
      <c r="J352" s="622"/>
      <c r="K352" s="560"/>
      <c r="L352" s="560"/>
      <c r="M352" s="560"/>
      <c r="N352" s="560"/>
      <c r="O352" s="560"/>
      <c r="P352" s="560"/>
      <c r="Q352" s="560"/>
      <c r="R352" s="560"/>
      <c r="S352" s="560"/>
      <c r="T352" s="560"/>
      <c r="U352" s="560"/>
      <c r="V352" s="560"/>
      <c r="W352" s="552"/>
      <c r="Y352" s="289"/>
      <c r="Z352" s="289"/>
    </row>
    <row r="353" spans="3:26" s="63" customFormat="1" ht="12" x14ac:dyDescent="0.2">
      <c r="C353" s="64"/>
      <c r="D353" s="294"/>
      <c r="E353" s="301"/>
      <c r="F353" s="281"/>
      <c r="G353" s="678"/>
      <c r="H353" s="552"/>
      <c r="J353" s="622"/>
      <c r="K353" s="560"/>
      <c r="L353" s="560"/>
      <c r="M353" s="560"/>
      <c r="N353" s="560"/>
      <c r="O353" s="560"/>
      <c r="P353" s="560"/>
      <c r="Q353" s="560"/>
      <c r="R353" s="560"/>
      <c r="S353" s="560"/>
      <c r="T353" s="560"/>
      <c r="U353" s="560"/>
      <c r="V353" s="560"/>
      <c r="W353" s="552"/>
      <c r="Y353" s="289"/>
      <c r="Z353" s="289"/>
    </row>
    <row r="354" spans="3:26" s="63" customFormat="1" ht="12" x14ac:dyDescent="0.2">
      <c r="C354" s="64"/>
      <c r="D354" s="294"/>
      <c r="E354" s="301"/>
      <c r="F354" s="281"/>
      <c r="G354" s="678"/>
      <c r="H354" s="552"/>
      <c r="J354" s="622"/>
      <c r="K354" s="560"/>
      <c r="L354" s="560"/>
      <c r="M354" s="560"/>
      <c r="N354" s="560"/>
      <c r="O354" s="560"/>
      <c r="P354" s="560"/>
      <c r="Q354" s="560"/>
      <c r="R354" s="560"/>
      <c r="S354" s="560"/>
      <c r="T354" s="560"/>
      <c r="U354" s="560"/>
      <c r="V354" s="560"/>
      <c r="W354" s="552"/>
      <c r="Y354" s="289"/>
      <c r="Z354" s="289"/>
    </row>
    <row r="355" spans="3:26" s="63" customFormat="1" ht="12" x14ac:dyDescent="0.2">
      <c r="C355" s="64"/>
      <c r="D355" s="294"/>
      <c r="E355" s="301"/>
      <c r="F355" s="281"/>
      <c r="G355" s="678"/>
      <c r="H355" s="552"/>
      <c r="J355" s="622"/>
      <c r="K355" s="560"/>
      <c r="L355" s="560"/>
      <c r="M355" s="560"/>
      <c r="N355" s="560"/>
      <c r="O355" s="560"/>
      <c r="P355" s="560"/>
      <c r="Q355" s="560"/>
      <c r="R355" s="560"/>
      <c r="S355" s="560"/>
      <c r="T355" s="560"/>
      <c r="U355" s="560"/>
      <c r="V355" s="560"/>
      <c r="W355" s="552"/>
      <c r="Y355" s="289"/>
      <c r="Z355" s="289"/>
    </row>
    <row r="356" spans="3:26" s="63" customFormat="1" ht="12" x14ac:dyDescent="0.2">
      <c r="C356" s="64"/>
      <c r="D356" s="294"/>
      <c r="E356" s="301"/>
      <c r="F356" s="281"/>
      <c r="G356" s="678"/>
      <c r="H356" s="552"/>
      <c r="J356" s="622"/>
      <c r="K356" s="560"/>
      <c r="L356" s="560"/>
      <c r="M356" s="560"/>
      <c r="N356" s="560"/>
      <c r="O356" s="560"/>
      <c r="P356" s="560"/>
      <c r="Q356" s="560"/>
      <c r="R356" s="560"/>
      <c r="S356" s="560"/>
      <c r="T356" s="560"/>
      <c r="U356" s="560"/>
      <c r="V356" s="560"/>
      <c r="W356" s="552"/>
      <c r="Y356" s="289"/>
      <c r="Z356" s="289"/>
    </row>
    <row r="357" spans="3:26" s="63" customFormat="1" ht="12" x14ac:dyDescent="0.2">
      <c r="C357" s="64"/>
      <c r="D357" s="294"/>
      <c r="E357" s="301"/>
      <c r="F357" s="281"/>
      <c r="G357" s="678"/>
      <c r="H357" s="552"/>
      <c r="J357" s="622"/>
      <c r="K357" s="560"/>
      <c r="L357" s="560"/>
      <c r="M357" s="560"/>
      <c r="N357" s="560"/>
      <c r="O357" s="560"/>
      <c r="P357" s="560"/>
      <c r="Q357" s="560"/>
      <c r="R357" s="560"/>
      <c r="S357" s="560"/>
      <c r="T357" s="560"/>
      <c r="U357" s="560"/>
      <c r="V357" s="560"/>
      <c r="W357" s="552"/>
      <c r="Y357" s="289"/>
      <c r="Z357" s="289"/>
    </row>
    <row r="358" spans="3:26" s="63" customFormat="1" ht="12" x14ac:dyDescent="0.2">
      <c r="C358" s="64"/>
      <c r="D358" s="294"/>
      <c r="E358" s="301"/>
      <c r="F358" s="281"/>
      <c r="G358" s="678"/>
      <c r="H358" s="552"/>
      <c r="J358" s="622"/>
      <c r="K358" s="560"/>
      <c r="L358" s="560"/>
      <c r="M358" s="560"/>
      <c r="N358" s="560"/>
      <c r="O358" s="560"/>
      <c r="P358" s="560"/>
      <c r="Q358" s="560"/>
      <c r="R358" s="560"/>
      <c r="S358" s="560"/>
      <c r="T358" s="560"/>
      <c r="U358" s="560"/>
      <c r="V358" s="560"/>
      <c r="W358" s="552"/>
      <c r="Y358" s="289"/>
      <c r="Z358" s="289"/>
    </row>
    <row r="359" spans="3:26" s="63" customFormat="1" ht="12" x14ac:dyDescent="0.2">
      <c r="C359" s="64"/>
      <c r="D359" s="294"/>
      <c r="E359" s="301"/>
      <c r="F359" s="281"/>
      <c r="G359" s="678"/>
      <c r="H359" s="552"/>
      <c r="J359" s="622"/>
      <c r="K359" s="560"/>
      <c r="L359" s="560"/>
      <c r="M359" s="560"/>
      <c r="N359" s="560"/>
      <c r="O359" s="560"/>
      <c r="P359" s="560"/>
      <c r="Q359" s="560"/>
      <c r="R359" s="560"/>
      <c r="S359" s="560"/>
      <c r="T359" s="560"/>
      <c r="U359" s="560"/>
      <c r="V359" s="560"/>
      <c r="W359" s="552"/>
      <c r="Y359" s="289"/>
      <c r="Z359" s="289"/>
    </row>
    <row r="360" spans="3:26" s="63" customFormat="1" ht="12" x14ac:dyDescent="0.2">
      <c r="C360" s="64"/>
      <c r="D360" s="294"/>
      <c r="E360" s="301"/>
      <c r="F360" s="281"/>
      <c r="G360" s="678"/>
      <c r="H360" s="552"/>
      <c r="J360" s="622"/>
      <c r="K360" s="560"/>
      <c r="L360" s="560"/>
      <c r="M360" s="560"/>
      <c r="N360" s="560"/>
      <c r="O360" s="560"/>
      <c r="P360" s="560"/>
      <c r="Q360" s="560"/>
      <c r="R360" s="560"/>
      <c r="S360" s="560"/>
      <c r="T360" s="560"/>
      <c r="U360" s="560"/>
      <c r="V360" s="560"/>
      <c r="W360" s="552"/>
      <c r="Y360" s="289"/>
      <c r="Z360" s="289"/>
    </row>
    <row r="361" spans="3:26" s="63" customFormat="1" ht="12" x14ac:dyDescent="0.2">
      <c r="C361" s="64"/>
      <c r="D361" s="294"/>
      <c r="E361" s="301"/>
      <c r="F361" s="281"/>
      <c r="G361" s="678"/>
      <c r="H361" s="552"/>
      <c r="J361" s="622"/>
      <c r="K361" s="560"/>
      <c r="L361" s="560"/>
      <c r="M361" s="560"/>
      <c r="N361" s="560"/>
      <c r="O361" s="560"/>
      <c r="P361" s="560"/>
      <c r="Q361" s="560"/>
      <c r="R361" s="560"/>
      <c r="S361" s="560"/>
      <c r="T361" s="560"/>
      <c r="U361" s="560"/>
      <c r="V361" s="560"/>
      <c r="W361" s="552"/>
      <c r="Y361" s="289"/>
      <c r="Z361" s="289"/>
    </row>
    <row r="362" spans="3:26" s="63" customFormat="1" ht="12" x14ac:dyDescent="0.2">
      <c r="C362" s="64"/>
      <c r="D362" s="294"/>
      <c r="E362" s="301"/>
      <c r="F362" s="281"/>
      <c r="G362" s="678"/>
      <c r="H362" s="552"/>
      <c r="J362" s="622"/>
      <c r="K362" s="560"/>
      <c r="L362" s="560"/>
      <c r="M362" s="560"/>
      <c r="N362" s="560"/>
      <c r="O362" s="560"/>
      <c r="P362" s="560"/>
      <c r="Q362" s="560"/>
      <c r="R362" s="560"/>
      <c r="S362" s="560"/>
      <c r="T362" s="560"/>
      <c r="U362" s="560"/>
      <c r="V362" s="560"/>
      <c r="W362" s="552"/>
      <c r="Y362" s="289"/>
      <c r="Z362" s="289"/>
    </row>
    <row r="363" spans="3:26" s="63" customFormat="1" ht="12" x14ac:dyDescent="0.2">
      <c r="C363" s="64"/>
      <c r="D363" s="294"/>
      <c r="E363" s="301"/>
      <c r="F363" s="281"/>
      <c r="G363" s="678"/>
      <c r="H363" s="552"/>
      <c r="J363" s="622"/>
      <c r="K363" s="560"/>
      <c r="L363" s="560"/>
      <c r="M363" s="560"/>
      <c r="N363" s="560"/>
      <c r="O363" s="560"/>
      <c r="P363" s="560"/>
      <c r="Q363" s="560"/>
      <c r="R363" s="560"/>
      <c r="S363" s="560"/>
      <c r="T363" s="560"/>
      <c r="U363" s="560"/>
      <c r="V363" s="560"/>
      <c r="W363" s="552"/>
      <c r="Y363" s="289"/>
      <c r="Z363" s="289"/>
    </row>
    <row r="364" spans="3:26" s="63" customFormat="1" ht="12" x14ac:dyDescent="0.2">
      <c r="C364" s="64"/>
      <c r="D364" s="294"/>
      <c r="E364" s="301"/>
      <c r="F364" s="281"/>
      <c r="G364" s="678"/>
      <c r="H364" s="552"/>
      <c r="J364" s="622"/>
      <c r="K364" s="560"/>
      <c r="L364" s="560"/>
      <c r="M364" s="560"/>
      <c r="N364" s="560"/>
      <c r="O364" s="560"/>
      <c r="P364" s="560"/>
      <c r="Q364" s="560"/>
      <c r="R364" s="560"/>
      <c r="S364" s="560"/>
      <c r="T364" s="560"/>
      <c r="U364" s="560"/>
      <c r="V364" s="560"/>
      <c r="W364" s="552"/>
      <c r="Y364" s="289"/>
      <c r="Z364" s="289"/>
    </row>
    <row r="365" spans="3:26" s="63" customFormat="1" ht="12" x14ac:dyDescent="0.2">
      <c r="C365" s="64"/>
      <c r="D365" s="294"/>
      <c r="E365" s="301"/>
      <c r="F365" s="281"/>
      <c r="G365" s="678"/>
      <c r="H365" s="552"/>
      <c r="J365" s="622"/>
      <c r="K365" s="560"/>
      <c r="L365" s="560"/>
      <c r="M365" s="560"/>
      <c r="N365" s="560"/>
      <c r="O365" s="560"/>
      <c r="P365" s="560"/>
      <c r="Q365" s="560"/>
      <c r="R365" s="560"/>
      <c r="S365" s="560"/>
      <c r="T365" s="560"/>
      <c r="U365" s="560"/>
      <c r="V365" s="560"/>
      <c r="W365" s="552"/>
      <c r="Y365" s="289"/>
      <c r="Z365" s="289"/>
    </row>
    <row r="366" spans="3:26" s="63" customFormat="1" ht="12" x14ac:dyDescent="0.2">
      <c r="C366" s="64"/>
      <c r="D366" s="294"/>
      <c r="E366" s="301"/>
      <c r="F366" s="281"/>
      <c r="G366" s="678"/>
      <c r="H366" s="552"/>
      <c r="J366" s="622"/>
      <c r="K366" s="560"/>
      <c r="L366" s="560"/>
      <c r="M366" s="560"/>
      <c r="N366" s="560"/>
      <c r="O366" s="560"/>
      <c r="P366" s="560"/>
      <c r="Q366" s="560"/>
      <c r="R366" s="560"/>
      <c r="S366" s="560"/>
      <c r="T366" s="560"/>
      <c r="U366" s="560"/>
      <c r="V366" s="560"/>
      <c r="W366" s="552"/>
      <c r="Y366" s="289"/>
      <c r="Z366" s="289"/>
    </row>
    <row r="367" spans="3:26" s="63" customFormat="1" ht="12" x14ac:dyDescent="0.2">
      <c r="C367" s="64"/>
      <c r="D367" s="294"/>
      <c r="E367" s="301"/>
      <c r="F367" s="281"/>
      <c r="G367" s="678"/>
      <c r="H367" s="552"/>
      <c r="J367" s="622"/>
      <c r="K367" s="560"/>
      <c r="L367" s="560"/>
      <c r="M367" s="560"/>
      <c r="N367" s="560"/>
      <c r="O367" s="560"/>
      <c r="P367" s="560"/>
      <c r="Q367" s="560"/>
      <c r="R367" s="560"/>
      <c r="S367" s="560"/>
      <c r="T367" s="560"/>
      <c r="U367" s="560"/>
      <c r="V367" s="560"/>
      <c r="W367" s="552"/>
      <c r="Y367" s="289"/>
      <c r="Z367" s="289"/>
    </row>
    <row r="368" spans="3:26" s="63" customFormat="1" ht="12" x14ac:dyDescent="0.2">
      <c r="C368" s="64"/>
      <c r="D368" s="294"/>
      <c r="E368" s="301"/>
      <c r="F368" s="281"/>
      <c r="G368" s="678"/>
      <c r="H368" s="552"/>
      <c r="J368" s="622"/>
      <c r="K368" s="560"/>
      <c r="L368" s="560"/>
      <c r="M368" s="560"/>
      <c r="N368" s="560"/>
      <c r="O368" s="560"/>
      <c r="P368" s="560"/>
      <c r="Q368" s="560"/>
      <c r="R368" s="560"/>
      <c r="S368" s="560"/>
      <c r="T368" s="560"/>
      <c r="U368" s="560"/>
      <c r="V368" s="560"/>
      <c r="W368" s="552"/>
      <c r="Y368" s="289"/>
      <c r="Z368" s="289"/>
    </row>
    <row r="369" spans="3:26" s="63" customFormat="1" ht="12" x14ac:dyDescent="0.2">
      <c r="C369" s="64"/>
      <c r="D369" s="294"/>
      <c r="E369" s="301"/>
      <c r="F369" s="281"/>
      <c r="G369" s="678"/>
      <c r="H369" s="552"/>
      <c r="J369" s="622"/>
      <c r="K369" s="560"/>
      <c r="L369" s="560"/>
      <c r="M369" s="560"/>
      <c r="N369" s="560"/>
      <c r="O369" s="560"/>
      <c r="P369" s="560"/>
      <c r="Q369" s="560"/>
      <c r="R369" s="560"/>
      <c r="S369" s="560"/>
      <c r="T369" s="560"/>
      <c r="U369" s="560"/>
      <c r="V369" s="560"/>
      <c r="W369" s="552"/>
      <c r="Y369" s="289"/>
      <c r="Z369" s="289"/>
    </row>
    <row r="370" spans="3:26" s="63" customFormat="1" ht="12" x14ac:dyDescent="0.2">
      <c r="C370" s="64"/>
      <c r="D370" s="294"/>
      <c r="E370" s="301"/>
      <c r="F370" s="281"/>
      <c r="G370" s="678"/>
      <c r="H370" s="552"/>
      <c r="J370" s="622"/>
      <c r="K370" s="560"/>
      <c r="L370" s="560"/>
      <c r="M370" s="560"/>
      <c r="N370" s="560"/>
      <c r="O370" s="560"/>
      <c r="P370" s="560"/>
      <c r="Q370" s="560"/>
      <c r="R370" s="560"/>
      <c r="S370" s="560"/>
      <c r="T370" s="560"/>
      <c r="U370" s="560"/>
      <c r="V370" s="560"/>
      <c r="W370" s="552"/>
      <c r="Y370" s="289"/>
      <c r="Z370" s="289"/>
    </row>
    <row r="371" spans="3:26" s="63" customFormat="1" ht="12" x14ac:dyDescent="0.2">
      <c r="C371" s="64"/>
      <c r="D371" s="294"/>
      <c r="E371" s="301"/>
      <c r="F371" s="281"/>
      <c r="G371" s="678"/>
      <c r="H371" s="552"/>
      <c r="J371" s="622"/>
      <c r="K371" s="560"/>
      <c r="L371" s="560"/>
      <c r="M371" s="560"/>
      <c r="N371" s="560"/>
      <c r="O371" s="560"/>
      <c r="P371" s="560"/>
      <c r="Q371" s="560"/>
      <c r="R371" s="560"/>
      <c r="S371" s="560"/>
      <c r="T371" s="560"/>
      <c r="U371" s="560"/>
      <c r="V371" s="560"/>
      <c r="W371" s="552"/>
      <c r="Y371" s="289"/>
      <c r="Z371" s="289"/>
    </row>
    <row r="372" spans="3:26" s="63" customFormat="1" ht="12" x14ac:dyDescent="0.2">
      <c r="C372" s="64"/>
      <c r="D372" s="294"/>
      <c r="E372" s="301"/>
      <c r="F372" s="281"/>
      <c r="G372" s="678"/>
      <c r="H372" s="552"/>
      <c r="J372" s="622"/>
      <c r="K372" s="560"/>
      <c r="L372" s="560"/>
      <c r="M372" s="560"/>
      <c r="N372" s="560"/>
      <c r="O372" s="560"/>
      <c r="P372" s="560"/>
      <c r="Q372" s="560"/>
      <c r="R372" s="560"/>
      <c r="S372" s="560"/>
      <c r="T372" s="560"/>
      <c r="U372" s="560"/>
      <c r="V372" s="560"/>
      <c r="W372" s="552"/>
      <c r="Y372" s="289"/>
      <c r="Z372" s="289"/>
    </row>
    <row r="373" spans="3:26" s="63" customFormat="1" ht="12" x14ac:dyDescent="0.2">
      <c r="C373" s="64"/>
      <c r="D373" s="294"/>
      <c r="E373" s="301"/>
      <c r="F373" s="281"/>
      <c r="G373" s="678"/>
      <c r="H373" s="552"/>
      <c r="J373" s="622"/>
      <c r="K373" s="560"/>
      <c r="L373" s="560"/>
      <c r="M373" s="560"/>
      <c r="N373" s="560"/>
      <c r="O373" s="560"/>
      <c r="P373" s="560"/>
      <c r="Q373" s="560"/>
      <c r="R373" s="560"/>
      <c r="S373" s="560"/>
      <c r="T373" s="560"/>
      <c r="U373" s="560"/>
      <c r="V373" s="560"/>
      <c r="W373" s="552"/>
      <c r="Y373" s="289"/>
      <c r="Z373" s="289"/>
    </row>
    <row r="374" spans="3:26" s="63" customFormat="1" ht="12" x14ac:dyDescent="0.2">
      <c r="C374" s="64"/>
      <c r="D374" s="294"/>
      <c r="E374" s="301"/>
      <c r="F374" s="281"/>
      <c r="G374" s="678"/>
      <c r="H374" s="552"/>
      <c r="J374" s="622"/>
      <c r="K374" s="560"/>
      <c r="L374" s="560"/>
      <c r="M374" s="560"/>
      <c r="N374" s="560"/>
      <c r="O374" s="560"/>
      <c r="P374" s="560"/>
      <c r="Q374" s="560"/>
      <c r="R374" s="560"/>
      <c r="S374" s="560"/>
      <c r="T374" s="560"/>
      <c r="U374" s="560"/>
      <c r="V374" s="560"/>
      <c r="W374" s="552"/>
      <c r="Y374" s="289"/>
      <c r="Z374" s="289"/>
    </row>
    <row r="375" spans="3:26" s="63" customFormat="1" ht="12" x14ac:dyDescent="0.2">
      <c r="C375" s="64"/>
      <c r="D375" s="294"/>
      <c r="E375" s="301"/>
      <c r="F375" s="281"/>
      <c r="G375" s="678"/>
      <c r="H375" s="552"/>
      <c r="J375" s="622"/>
      <c r="K375" s="560"/>
      <c r="L375" s="560"/>
      <c r="M375" s="560"/>
      <c r="N375" s="560"/>
      <c r="O375" s="560"/>
      <c r="P375" s="560"/>
      <c r="Q375" s="560"/>
      <c r="R375" s="560"/>
      <c r="S375" s="560"/>
      <c r="T375" s="560"/>
      <c r="U375" s="560"/>
      <c r="V375" s="560"/>
      <c r="W375" s="552"/>
      <c r="Y375" s="289"/>
      <c r="Z375" s="289"/>
    </row>
    <row r="376" spans="3:26" s="63" customFormat="1" ht="12" x14ac:dyDescent="0.2">
      <c r="C376" s="64"/>
      <c r="D376" s="294"/>
      <c r="E376" s="301"/>
      <c r="F376" s="281"/>
      <c r="G376" s="678"/>
      <c r="H376" s="552"/>
      <c r="J376" s="622"/>
      <c r="K376" s="560"/>
      <c r="L376" s="560"/>
      <c r="M376" s="560"/>
      <c r="N376" s="560"/>
      <c r="O376" s="560"/>
      <c r="P376" s="560"/>
      <c r="Q376" s="560"/>
      <c r="R376" s="560"/>
      <c r="S376" s="560"/>
      <c r="T376" s="560"/>
      <c r="U376" s="560"/>
      <c r="V376" s="560"/>
      <c r="W376" s="552"/>
      <c r="Y376" s="289"/>
      <c r="Z376" s="289"/>
    </row>
    <row r="377" spans="3:26" s="63" customFormat="1" ht="12" x14ac:dyDescent="0.2">
      <c r="C377" s="64"/>
      <c r="D377" s="294"/>
      <c r="E377" s="301"/>
      <c r="F377" s="281"/>
      <c r="G377" s="678"/>
      <c r="H377" s="552"/>
      <c r="J377" s="622"/>
      <c r="K377" s="560"/>
      <c r="L377" s="560"/>
      <c r="M377" s="560"/>
      <c r="N377" s="560"/>
      <c r="O377" s="560"/>
      <c r="P377" s="560"/>
      <c r="Q377" s="560"/>
      <c r="R377" s="560"/>
      <c r="S377" s="560"/>
      <c r="T377" s="560"/>
      <c r="U377" s="560"/>
      <c r="V377" s="560"/>
      <c r="W377" s="552"/>
      <c r="Y377" s="289"/>
      <c r="Z377" s="289"/>
    </row>
    <row r="378" spans="3:26" s="63" customFormat="1" ht="12" x14ac:dyDescent="0.2">
      <c r="C378" s="64"/>
      <c r="D378" s="294"/>
      <c r="E378" s="301"/>
      <c r="F378" s="281"/>
      <c r="G378" s="678"/>
      <c r="H378" s="552"/>
      <c r="J378" s="622"/>
      <c r="K378" s="560"/>
      <c r="L378" s="560"/>
      <c r="M378" s="560"/>
      <c r="N378" s="560"/>
      <c r="O378" s="560"/>
      <c r="P378" s="560"/>
      <c r="Q378" s="560"/>
      <c r="R378" s="560"/>
      <c r="S378" s="560"/>
      <c r="T378" s="560"/>
      <c r="U378" s="560"/>
      <c r="V378" s="560"/>
      <c r="W378" s="552"/>
      <c r="Y378" s="289"/>
      <c r="Z378" s="289"/>
    </row>
    <row r="379" spans="3:26" s="63" customFormat="1" ht="12" x14ac:dyDescent="0.2">
      <c r="C379" s="64"/>
      <c r="D379" s="294"/>
      <c r="E379" s="301"/>
      <c r="F379" s="281"/>
      <c r="G379" s="678"/>
      <c r="H379" s="552"/>
      <c r="J379" s="622"/>
      <c r="K379" s="560"/>
      <c r="L379" s="560"/>
      <c r="M379" s="560"/>
      <c r="N379" s="560"/>
      <c r="O379" s="560"/>
      <c r="P379" s="560"/>
      <c r="Q379" s="560"/>
      <c r="R379" s="560"/>
      <c r="S379" s="560"/>
      <c r="T379" s="560"/>
      <c r="U379" s="560"/>
      <c r="V379" s="560"/>
      <c r="W379" s="552"/>
      <c r="Y379" s="289"/>
      <c r="Z379" s="289"/>
    </row>
    <row r="380" spans="3:26" s="63" customFormat="1" ht="12" x14ac:dyDescent="0.2">
      <c r="C380" s="64"/>
      <c r="D380" s="294"/>
      <c r="E380" s="301"/>
      <c r="F380" s="281"/>
      <c r="G380" s="678"/>
      <c r="H380" s="552"/>
      <c r="J380" s="622"/>
      <c r="K380" s="560"/>
      <c r="L380" s="560"/>
      <c r="M380" s="560"/>
      <c r="N380" s="560"/>
      <c r="O380" s="560"/>
      <c r="P380" s="560"/>
      <c r="Q380" s="560"/>
      <c r="R380" s="560"/>
      <c r="S380" s="560"/>
      <c r="T380" s="560"/>
      <c r="U380" s="560"/>
      <c r="V380" s="560"/>
      <c r="W380" s="552"/>
      <c r="Y380" s="289"/>
      <c r="Z380" s="289"/>
    </row>
    <row r="381" spans="3:26" s="63" customFormat="1" ht="12" x14ac:dyDescent="0.2">
      <c r="C381" s="64"/>
      <c r="D381" s="294"/>
      <c r="E381" s="301"/>
      <c r="F381" s="281"/>
      <c r="G381" s="678"/>
      <c r="H381" s="552"/>
      <c r="J381" s="622"/>
      <c r="K381" s="560"/>
      <c r="L381" s="560"/>
      <c r="M381" s="560"/>
      <c r="N381" s="560"/>
      <c r="O381" s="560"/>
      <c r="P381" s="560"/>
      <c r="Q381" s="560"/>
      <c r="R381" s="560"/>
      <c r="S381" s="560"/>
      <c r="T381" s="560"/>
      <c r="U381" s="560"/>
      <c r="V381" s="560"/>
      <c r="W381" s="552"/>
      <c r="Y381" s="289"/>
      <c r="Z381" s="289"/>
    </row>
    <row r="382" spans="3:26" s="63" customFormat="1" ht="12" x14ac:dyDescent="0.2">
      <c r="C382" s="64"/>
      <c r="D382" s="294"/>
      <c r="E382" s="301"/>
      <c r="F382" s="281"/>
      <c r="G382" s="678"/>
      <c r="H382" s="552"/>
      <c r="J382" s="622"/>
      <c r="K382" s="560"/>
      <c r="L382" s="560"/>
      <c r="M382" s="560"/>
      <c r="N382" s="560"/>
      <c r="O382" s="560"/>
      <c r="P382" s="560"/>
      <c r="Q382" s="560"/>
      <c r="R382" s="560"/>
      <c r="S382" s="560"/>
      <c r="T382" s="560"/>
      <c r="U382" s="560"/>
      <c r="V382" s="560"/>
      <c r="W382" s="552"/>
      <c r="Y382" s="289"/>
      <c r="Z382" s="289"/>
    </row>
    <row r="383" spans="3:26" s="63" customFormat="1" ht="12" x14ac:dyDescent="0.2">
      <c r="C383" s="64"/>
      <c r="D383" s="294"/>
      <c r="E383" s="301"/>
      <c r="F383" s="281"/>
      <c r="G383" s="678"/>
      <c r="H383" s="552"/>
      <c r="J383" s="622"/>
      <c r="K383" s="560"/>
      <c r="L383" s="560"/>
      <c r="M383" s="560"/>
      <c r="N383" s="560"/>
      <c r="O383" s="560"/>
      <c r="P383" s="560"/>
      <c r="Q383" s="560"/>
      <c r="R383" s="560"/>
      <c r="S383" s="560"/>
      <c r="T383" s="560"/>
      <c r="U383" s="560"/>
      <c r="V383" s="560"/>
      <c r="W383" s="552"/>
      <c r="Y383" s="289"/>
      <c r="Z383" s="289"/>
    </row>
    <row r="384" spans="3:26" s="63" customFormat="1" ht="12" x14ac:dyDescent="0.2">
      <c r="C384" s="64"/>
      <c r="D384" s="294"/>
      <c r="E384" s="301"/>
      <c r="F384" s="281"/>
      <c r="G384" s="678"/>
      <c r="H384" s="552"/>
      <c r="J384" s="622"/>
      <c r="K384" s="560"/>
      <c r="L384" s="560"/>
      <c r="M384" s="560"/>
      <c r="N384" s="560"/>
      <c r="O384" s="560"/>
      <c r="P384" s="560"/>
      <c r="Q384" s="560"/>
      <c r="R384" s="560"/>
      <c r="S384" s="560"/>
      <c r="T384" s="560"/>
      <c r="U384" s="560"/>
      <c r="V384" s="560"/>
      <c r="W384" s="552"/>
      <c r="Y384" s="289"/>
      <c r="Z384" s="289"/>
    </row>
    <row r="385" spans="3:26" s="63" customFormat="1" ht="12" x14ac:dyDescent="0.2">
      <c r="C385" s="64"/>
      <c r="D385" s="294"/>
      <c r="E385" s="301"/>
      <c r="F385" s="281"/>
      <c r="G385" s="678"/>
      <c r="H385" s="552"/>
      <c r="J385" s="622"/>
      <c r="K385" s="560"/>
      <c r="L385" s="560"/>
      <c r="M385" s="560"/>
      <c r="N385" s="560"/>
      <c r="O385" s="560"/>
      <c r="P385" s="560"/>
      <c r="Q385" s="560"/>
      <c r="R385" s="560"/>
      <c r="S385" s="560"/>
      <c r="T385" s="560"/>
      <c r="U385" s="560"/>
      <c r="V385" s="560"/>
      <c r="W385" s="552"/>
      <c r="Y385" s="289"/>
      <c r="Z385" s="289"/>
    </row>
    <row r="386" spans="3:26" s="63" customFormat="1" ht="12" x14ac:dyDescent="0.2">
      <c r="C386" s="64"/>
      <c r="D386" s="294"/>
      <c r="E386" s="301"/>
      <c r="F386" s="281"/>
      <c r="G386" s="678"/>
      <c r="H386" s="552"/>
      <c r="J386" s="622"/>
      <c r="K386" s="560"/>
      <c r="L386" s="560"/>
      <c r="M386" s="560"/>
      <c r="N386" s="560"/>
      <c r="O386" s="560"/>
      <c r="P386" s="560"/>
      <c r="Q386" s="560"/>
      <c r="R386" s="560"/>
      <c r="S386" s="560"/>
      <c r="T386" s="560"/>
      <c r="U386" s="560"/>
      <c r="V386" s="560"/>
      <c r="W386" s="552"/>
      <c r="Y386" s="289"/>
      <c r="Z386" s="289"/>
    </row>
    <row r="387" spans="3:26" s="63" customFormat="1" ht="12" x14ac:dyDescent="0.2">
      <c r="C387" s="64"/>
      <c r="D387" s="294"/>
      <c r="E387" s="301"/>
      <c r="F387" s="281"/>
      <c r="G387" s="678"/>
      <c r="H387" s="552"/>
      <c r="J387" s="622"/>
      <c r="K387" s="560"/>
      <c r="L387" s="560"/>
      <c r="M387" s="560"/>
      <c r="N387" s="560"/>
      <c r="O387" s="560"/>
      <c r="P387" s="560"/>
      <c r="Q387" s="560"/>
      <c r="R387" s="560"/>
      <c r="S387" s="560"/>
      <c r="T387" s="560"/>
      <c r="U387" s="560"/>
      <c r="V387" s="560"/>
      <c r="W387" s="552"/>
      <c r="Y387" s="289"/>
      <c r="Z387" s="289"/>
    </row>
    <row r="388" spans="3:26" s="63" customFormat="1" ht="12" x14ac:dyDescent="0.2">
      <c r="C388" s="64"/>
      <c r="D388" s="294"/>
      <c r="E388" s="301"/>
      <c r="F388" s="281"/>
      <c r="G388" s="678"/>
      <c r="H388" s="552"/>
      <c r="J388" s="622"/>
      <c r="K388" s="560"/>
      <c r="L388" s="560"/>
      <c r="M388" s="560"/>
      <c r="N388" s="560"/>
      <c r="O388" s="560"/>
      <c r="P388" s="560"/>
      <c r="Q388" s="560"/>
      <c r="R388" s="560"/>
      <c r="S388" s="560"/>
      <c r="T388" s="560"/>
      <c r="U388" s="560"/>
      <c r="V388" s="560"/>
      <c r="W388" s="552"/>
      <c r="Y388" s="289"/>
      <c r="Z388" s="289"/>
    </row>
    <row r="389" spans="3:26" s="63" customFormat="1" ht="12" x14ac:dyDescent="0.2">
      <c r="C389" s="64"/>
      <c r="D389" s="294"/>
      <c r="E389" s="301"/>
      <c r="F389" s="281"/>
      <c r="G389" s="678"/>
      <c r="H389" s="552"/>
      <c r="J389" s="622"/>
      <c r="K389" s="560"/>
      <c r="L389" s="560"/>
      <c r="M389" s="560"/>
      <c r="N389" s="560"/>
      <c r="O389" s="560"/>
      <c r="P389" s="560"/>
      <c r="Q389" s="560"/>
      <c r="R389" s="560"/>
      <c r="S389" s="560"/>
      <c r="T389" s="560"/>
      <c r="U389" s="560"/>
      <c r="V389" s="560"/>
      <c r="W389" s="552"/>
      <c r="Y389" s="289"/>
      <c r="Z389" s="289"/>
    </row>
    <row r="390" spans="3:26" s="63" customFormat="1" ht="12" x14ac:dyDescent="0.2">
      <c r="C390" s="64"/>
      <c r="D390" s="294"/>
      <c r="E390" s="301"/>
      <c r="F390" s="281"/>
      <c r="G390" s="678"/>
      <c r="H390" s="552"/>
      <c r="J390" s="622"/>
      <c r="K390" s="560"/>
      <c r="L390" s="560"/>
      <c r="M390" s="560"/>
      <c r="N390" s="560"/>
      <c r="O390" s="560"/>
      <c r="P390" s="560"/>
      <c r="Q390" s="560"/>
      <c r="R390" s="560"/>
      <c r="S390" s="560"/>
      <c r="T390" s="560"/>
      <c r="U390" s="560"/>
      <c r="V390" s="560"/>
      <c r="W390" s="552"/>
      <c r="Y390" s="289"/>
      <c r="Z390" s="289"/>
    </row>
    <row r="391" spans="3:26" s="63" customFormat="1" ht="12" x14ac:dyDescent="0.2">
      <c r="C391" s="64"/>
      <c r="D391" s="294"/>
      <c r="E391" s="301"/>
      <c r="F391" s="281"/>
      <c r="G391" s="678"/>
      <c r="H391" s="552"/>
      <c r="J391" s="622"/>
      <c r="K391" s="560"/>
      <c r="L391" s="560"/>
      <c r="M391" s="560"/>
      <c r="N391" s="560"/>
      <c r="O391" s="560"/>
      <c r="P391" s="560"/>
      <c r="Q391" s="560"/>
      <c r="R391" s="560"/>
      <c r="S391" s="560"/>
      <c r="T391" s="560"/>
      <c r="U391" s="560"/>
      <c r="V391" s="560"/>
      <c r="W391" s="552"/>
      <c r="Y391" s="289"/>
      <c r="Z391" s="289"/>
    </row>
    <row r="392" spans="3:26" s="63" customFormat="1" ht="12" x14ac:dyDescent="0.2">
      <c r="C392" s="64"/>
      <c r="D392" s="294"/>
      <c r="E392" s="301"/>
      <c r="F392" s="281"/>
      <c r="G392" s="678"/>
      <c r="H392" s="552"/>
      <c r="J392" s="622"/>
      <c r="K392" s="560"/>
      <c r="L392" s="560"/>
      <c r="M392" s="560"/>
      <c r="N392" s="560"/>
      <c r="O392" s="560"/>
      <c r="P392" s="560"/>
      <c r="Q392" s="560"/>
      <c r="R392" s="560"/>
      <c r="S392" s="560"/>
      <c r="T392" s="560"/>
      <c r="U392" s="560"/>
      <c r="V392" s="560"/>
      <c r="W392" s="552"/>
      <c r="Y392" s="289"/>
      <c r="Z392" s="289"/>
    </row>
    <row r="393" spans="3:26" s="63" customFormat="1" ht="12" x14ac:dyDescent="0.2">
      <c r="C393" s="64"/>
      <c r="D393" s="294"/>
      <c r="E393" s="301"/>
      <c r="F393" s="281"/>
      <c r="G393" s="678"/>
      <c r="H393" s="552"/>
      <c r="J393" s="622"/>
      <c r="K393" s="560"/>
      <c r="L393" s="560"/>
      <c r="M393" s="560"/>
      <c r="N393" s="560"/>
      <c r="O393" s="560"/>
      <c r="P393" s="560"/>
      <c r="Q393" s="560"/>
      <c r="R393" s="560"/>
      <c r="S393" s="560"/>
      <c r="T393" s="560"/>
      <c r="U393" s="560"/>
      <c r="V393" s="560"/>
      <c r="W393" s="552"/>
      <c r="Y393" s="289"/>
      <c r="Z393" s="289"/>
    </row>
    <row r="394" spans="3:26" s="63" customFormat="1" ht="12" x14ac:dyDescent="0.2">
      <c r="C394" s="64"/>
      <c r="D394" s="294"/>
      <c r="E394" s="301"/>
      <c r="F394" s="281"/>
      <c r="G394" s="678"/>
      <c r="H394" s="552"/>
      <c r="J394" s="622"/>
      <c r="K394" s="560"/>
      <c r="L394" s="560"/>
      <c r="M394" s="560"/>
      <c r="N394" s="560"/>
      <c r="O394" s="560"/>
      <c r="P394" s="560"/>
      <c r="Q394" s="560"/>
      <c r="R394" s="560"/>
      <c r="S394" s="560"/>
      <c r="T394" s="560"/>
      <c r="U394" s="560"/>
      <c r="V394" s="560"/>
      <c r="W394" s="552"/>
      <c r="Y394" s="289"/>
      <c r="Z394" s="289"/>
    </row>
    <row r="395" spans="3:26" s="63" customFormat="1" ht="12" x14ac:dyDescent="0.2">
      <c r="C395" s="64"/>
      <c r="D395" s="294"/>
      <c r="E395" s="301"/>
      <c r="F395" s="281"/>
      <c r="G395" s="678"/>
      <c r="H395" s="552"/>
      <c r="J395" s="622"/>
      <c r="K395" s="560"/>
      <c r="L395" s="560"/>
      <c r="M395" s="560"/>
      <c r="N395" s="560"/>
      <c r="O395" s="560"/>
      <c r="P395" s="560"/>
      <c r="Q395" s="560"/>
      <c r="R395" s="560"/>
      <c r="S395" s="560"/>
      <c r="T395" s="560"/>
      <c r="U395" s="560"/>
      <c r="V395" s="560"/>
      <c r="W395" s="552"/>
      <c r="Y395" s="289"/>
      <c r="Z395" s="289"/>
    </row>
    <row r="396" spans="3:26" s="63" customFormat="1" ht="12" x14ac:dyDescent="0.2">
      <c r="C396" s="64"/>
      <c r="D396" s="294"/>
      <c r="E396" s="301"/>
      <c r="F396" s="281"/>
      <c r="G396" s="678"/>
      <c r="H396" s="552"/>
      <c r="J396" s="622"/>
      <c r="K396" s="560"/>
      <c r="L396" s="560"/>
      <c r="M396" s="560"/>
      <c r="N396" s="560"/>
      <c r="O396" s="560"/>
      <c r="P396" s="560"/>
      <c r="Q396" s="560"/>
      <c r="R396" s="560"/>
      <c r="S396" s="560"/>
      <c r="T396" s="560"/>
      <c r="U396" s="560"/>
      <c r="V396" s="560"/>
      <c r="W396" s="552"/>
      <c r="Y396" s="289"/>
      <c r="Z396" s="289"/>
    </row>
    <row r="397" spans="3:26" s="63" customFormat="1" ht="12" x14ac:dyDescent="0.2">
      <c r="C397" s="64"/>
      <c r="D397" s="294"/>
      <c r="E397" s="301"/>
      <c r="F397" s="281"/>
      <c r="G397" s="678"/>
      <c r="H397" s="552"/>
      <c r="J397" s="622"/>
      <c r="K397" s="560"/>
      <c r="L397" s="560"/>
      <c r="M397" s="560"/>
      <c r="N397" s="560"/>
      <c r="O397" s="560"/>
      <c r="P397" s="560"/>
      <c r="Q397" s="560"/>
      <c r="R397" s="560"/>
      <c r="S397" s="560"/>
      <c r="T397" s="560"/>
      <c r="U397" s="560"/>
      <c r="V397" s="560"/>
      <c r="W397" s="552"/>
      <c r="Y397" s="289"/>
      <c r="Z397" s="289"/>
    </row>
    <row r="398" spans="3:26" s="63" customFormat="1" ht="12" x14ac:dyDescent="0.2">
      <c r="C398" s="64"/>
      <c r="D398" s="294"/>
      <c r="E398" s="301"/>
      <c r="F398" s="281"/>
      <c r="G398" s="678"/>
      <c r="H398" s="552"/>
      <c r="J398" s="622"/>
      <c r="K398" s="560"/>
      <c r="L398" s="560"/>
      <c r="M398" s="560"/>
      <c r="N398" s="560"/>
      <c r="O398" s="560"/>
      <c r="P398" s="560"/>
      <c r="Q398" s="560"/>
      <c r="R398" s="560"/>
      <c r="S398" s="560"/>
      <c r="T398" s="560"/>
      <c r="U398" s="560"/>
      <c r="V398" s="560"/>
      <c r="W398" s="552"/>
      <c r="Y398" s="289"/>
      <c r="Z398" s="289"/>
    </row>
    <row r="399" spans="3:26" s="63" customFormat="1" ht="12" x14ac:dyDescent="0.2">
      <c r="C399" s="64"/>
      <c r="D399" s="294"/>
      <c r="E399" s="301"/>
      <c r="F399" s="281"/>
      <c r="G399" s="678"/>
      <c r="H399" s="552"/>
      <c r="J399" s="622"/>
      <c r="K399" s="560"/>
      <c r="L399" s="560"/>
      <c r="M399" s="560"/>
      <c r="N399" s="560"/>
      <c r="O399" s="560"/>
      <c r="P399" s="560"/>
      <c r="Q399" s="560"/>
      <c r="R399" s="560"/>
      <c r="S399" s="560"/>
      <c r="T399" s="560"/>
      <c r="U399" s="560"/>
      <c r="V399" s="560"/>
      <c r="W399" s="552"/>
      <c r="Y399" s="289"/>
      <c r="Z399" s="289"/>
    </row>
    <row r="400" spans="3:26" s="63" customFormat="1" ht="12" x14ac:dyDescent="0.2">
      <c r="C400" s="64"/>
      <c r="D400" s="294"/>
      <c r="E400" s="301"/>
      <c r="F400" s="281"/>
      <c r="G400" s="678"/>
      <c r="H400" s="552"/>
      <c r="J400" s="622"/>
      <c r="K400" s="560"/>
      <c r="L400" s="560"/>
      <c r="M400" s="560"/>
      <c r="N400" s="560"/>
      <c r="O400" s="560"/>
      <c r="P400" s="560"/>
      <c r="Q400" s="560"/>
      <c r="R400" s="560"/>
      <c r="S400" s="560"/>
      <c r="T400" s="560"/>
      <c r="U400" s="560"/>
      <c r="V400" s="560"/>
      <c r="W400" s="552"/>
      <c r="Y400" s="289"/>
      <c r="Z400" s="289"/>
    </row>
    <row r="401" spans="3:26" s="63" customFormat="1" ht="12" x14ac:dyDescent="0.2">
      <c r="C401" s="64"/>
      <c r="D401" s="294"/>
      <c r="E401" s="301"/>
      <c r="F401" s="281"/>
      <c r="G401" s="678"/>
      <c r="H401" s="552"/>
      <c r="J401" s="622"/>
      <c r="K401" s="560"/>
      <c r="L401" s="560"/>
      <c r="M401" s="560"/>
      <c r="N401" s="560"/>
      <c r="O401" s="560"/>
      <c r="P401" s="560"/>
      <c r="Q401" s="560"/>
      <c r="R401" s="560"/>
      <c r="S401" s="560"/>
      <c r="T401" s="560"/>
      <c r="U401" s="560"/>
      <c r="V401" s="560"/>
      <c r="W401" s="552"/>
      <c r="Y401" s="289"/>
      <c r="Z401" s="289"/>
    </row>
    <row r="402" spans="3:26" s="63" customFormat="1" ht="12" x14ac:dyDescent="0.2">
      <c r="C402" s="64"/>
      <c r="D402" s="294"/>
      <c r="E402" s="301"/>
      <c r="F402" s="281"/>
      <c r="G402" s="678"/>
      <c r="H402" s="552"/>
      <c r="J402" s="622"/>
      <c r="K402" s="560"/>
      <c r="L402" s="560"/>
      <c r="M402" s="560"/>
      <c r="N402" s="560"/>
      <c r="O402" s="560"/>
      <c r="P402" s="560"/>
      <c r="Q402" s="560"/>
      <c r="R402" s="560"/>
      <c r="S402" s="560"/>
      <c r="T402" s="560"/>
      <c r="U402" s="560"/>
      <c r="V402" s="560"/>
      <c r="W402" s="552"/>
      <c r="Y402" s="289"/>
      <c r="Z402" s="289"/>
    </row>
    <row r="403" spans="3:26" s="63" customFormat="1" ht="12" x14ac:dyDescent="0.2">
      <c r="C403" s="64"/>
      <c r="D403" s="294"/>
      <c r="E403" s="301"/>
      <c r="F403" s="281"/>
      <c r="G403" s="678"/>
      <c r="H403" s="552"/>
      <c r="J403" s="622"/>
      <c r="K403" s="560"/>
      <c r="L403" s="560"/>
      <c r="M403" s="560"/>
      <c r="N403" s="560"/>
      <c r="O403" s="560"/>
      <c r="P403" s="560"/>
      <c r="Q403" s="560"/>
      <c r="R403" s="560"/>
      <c r="S403" s="560"/>
      <c r="T403" s="560"/>
      <c r="U403" s="560"/>
      <c r="V403" s="560"/>
      <c r="W403" s="552"/>
      <c r="Y403" s="289"/>
      <c r="Z403" s="289"/>
    </row>
    <row r="404" spans="3:26" s="63" customFormat="1" ht="12" x14ac:dyDescent="0.2">
      <c r="C404" s="64"/>
      <c r="D404" s="294"/>
      <c r="E404" s="301"/>
      <c r="F404" s="281"/>
      <c r="G404" s="678"/>
      <c r="H404" s="552"/>
      <c r="J404" s="622"/>
      <c r="K404" s="560"/>
      <c r="L404" s="560"/>
      <c r="M404" s="560"/>
      <c r="N404" s="560"/>
      <c r="O404" s="560"/>
      <c r="P404" s="560"/>
      <c r="Q404" s="560"/>
      <c r="R404" s="560"/>
      <c r="S404" s="560"/>
      <c r="T404" s="560"/>
      <c r="U404" s="560"/>
      <c r="V404" s="560"/>
      <c r="W404" s="552"/>
      <c r="Y404" s="289"/>
      <c r="Z404" s="289"/>
    </row>
    <row r="405" spans="3:26" s="63" customFormat="1" ht="12" x14ac:dyDescent="0.2">
      <c r="C405" s="64"/>
      <c r="D405" s="294"/>
      <c r="E405" s="301"/>
      <c r="F405" s="281"/>
      <c r="G405" s="678"/>
      <c r="H405" s="552"/>
      <c r="J405" s="622"/>
      <c r="K405" s="560"/>
      <c r="L405" s="560"/>
      <c r="M405" s="560"/>
      <c r="N405" s="560"/>
      <c r="O405" s="560"/>
      <c r="P405" s="560"/>
      <c r="Q405" s="560"/>
      <c r="R405" s="560"/>
      <c r="S405" s="560"/>
      <c r="T405" s="560"/>
      <c r="U405" s="560"/>
      <c r="V405" s="560"/>
      <c r="W405" s="552"/>
      <c r="Y405" s="289"/>
      <c r="Z405" s="289"/>
    </row>
    <row r="406" spans="3:26" s="63" customFormat="1" ht="12" x14ac:dyDescent="0.2">
      <c r="C406" s="64"/>
      <c r="D406" s="294"/>
      <c r="E406" s="301"/>
      <c r="F406" s="281"/>
      <c r="G406" s="678"/>
      <c r="H406" s="552"/>
      <c r="J406" s="622"/>
      <c r="K406" s="560"/>
      <c r="L406" s="560"/>
      <c r="M406" s="560"/>
      <c r="N406" s="560"/>
      <c r="O406" s="560"/>
      <c r="P406" s="560"/>
      <c r="Q406" s="560"/>
      <c r="R406" s="560"/>
      <c r="S406" s="560"/>
      <c r="T406" s="560"/>
      <c r="U406" s="560"/>
      <c r="V406" s="560"/>
      <c r="W406" s="552"/>
      <c r="Y406" s="289"/>
      <c r="Z406" s="289"/>
    </row>
    <row r="407" spans="3:26" s="63" customFormat="1" ht="12" x14ac:dyDescent="0.2">
      <c r="C407" s="64"/>
      <c r="D407" s="294"/>
      <c r="E407" s="301"/>
      <c r="F407" s="281"/>
      <c r="G407" s="678"/>
      <c r="H407" s="552"/>
      <c r="J407" s="622"/>
      <c r="K407" s="560"/>
      <c r="L407" s="560"/>
      <c r="M407" s="560"/>
      <c r="N407" s="560"/>
      <c r="O407" s="560"/>
      <c r="P407" s="560"/>
      <c r="Q407" s="560"/>
      <c r="R407" s="560"/>
      <c r="S407" s="560"/>
      <c r="T407" s="560"/>
      <c r="U407" s="560"/>
      <c r="V407" s="560"/>
      <c r="W407" s="552"/>
      <c r="Y407" s="289"/>
      <c r="Z407" s="289"/>
    </row>
    <row r="408" spans="3:26" s="63" customFormat="1" ht="12" x14ac:dyDescent="0.2">
      <c r="C408" s="64"/>
      <c r="D408" s="294"/>
      <c r="E408" s="301"/>
      <c r="F408" s="281"/>
      <c r="G408" s="678"/>
      <c r="H408" s="552"/>
      <c r="J408" s="622"/>
      <c r="K408" s="560"/>
      <c r="L408" s="560"/>
      <c r="M408" s="560"/>
      <c r="N408" s="560"/>
      <c r="O408" s="560"/>
      <c r="P408" s="560"/>
      <c r="Q408" s="560"/>
      <c r="R408" s="560"/>
      <c r="S408" s="560"/>
      <c r="T408" s="560"/>
      <c r="U408" s="560"/>
      <c r="V408" s="560"/>
      <c r="W408" s="552"/>
      <c r="Y408" s="289"/>
      <c r="Z408" s="289"/>
    </row>
    <row r="409" spans="3:26" s="63" customFormat="1" ht="12" x14ac:dyDescent="0.2">
      <c r="C409" s="64"/>
      <c r="D409" s="294"/>
      <c r="E409" s="301"/>
      <c r="F409" s="281"/>
      <c r="G409" s="678"/>
      <c r="H409" s="552"/>
      <c r="J409" s="622"/>
      <c r="K409" s="560"/>
      <c r="L409" s="560"/>
      <c r="M409" s="560"/>
      <c r="N409" s="560"/>
      <c r="O409" s="560"/>
      <c r="P409" s="560"/>
      <c r="Q409" s="560"/>
      <c r="R409" s="560"/>
      <c r="S409" s="560"/>
      <c r="T409" s="560"/>
      <c r="U409" s="560"/>
      <c r="V409" s="560"/>
      <c r="W409" s="552"/>
      <c r="Y409" s="289"/>
      <c r="Z409" s="289"/>
    </row>
    <row r="410" spans="3:26" s="63" customFormat="1" ht="12" x14ac:dyDescent="0.2">
      <c r="C410" s="64"/>
      <c r="D410" s="294"/>
      <c r="E410" s="301"/>
      <c r="F410" s="281"/>
      <c r="G410" s="678"/>
      <c r="H410" s="552"/>
      <c r="J410" s="622"/>
      <c r="K410" s="560"/>
      <c r="L410" s="560"/>
      <c r="M410" s="560"/>
      <c r="N410" s="560"/>
      <c r="O410" s="560"/>
      <c r="P410" s="560"/>
      <c r="Q410" s="560"/>
      <c r="R410" s="560"/>
      <c r="S410" s="560"/>
      <c r="T410" s="560"/>
      <c r="U410" s="560"/>
      <c r="V410" s="560"/>
      <c r="W410" s="552"/>
      <c r="Y410" s="289"/>
      <c r="Z410" s="289"/>
    </row>
    <row r="411" spans="3:26" s="63" customFormat="1" ht="12" x14ac:dyDescent="0.2">
      <c r="C411" s="64"/>
      <c r="D411" s="294"/>
      <c r="E411" s="301"/>
      <c r="F411" s="281"/>
      <c r="G411" s="678"/>
      <c r="H411" s="552"/>
      <c r="J411" s="622"/>
      <c r="K411" s="560"/>
      <c r="L411" s="560"/>
      <c r="M411" s="560"/>
      <c r="N411" s="560"/>
      <c r="O411" s="560"/>
      <c r="P411" s="560"/>
      <c r="Q411" s="560"/>
      <c r="R411" s="560"/>
      <c r="S411" s="560"/>
      <c r="T411" s="560"/>
      <c r="U411" s="560"/>
      <c r="V411" s="560"/>
      <c r="W411" s="552"/>
      <c r="Y411" s="289"/>
      <c r="Z411" s="289"/>
    </row>
    <row r="412" spans="3:26" s="63" customFormat="1" ht="12" x14ac:dyDescent="0.2">
      <c r="C412" s="64"/>
      <c r="D412" s="294"/>
      <c r="E412" s="301"/>
      <c r="F412" s="281"/>
      <c r="G412" s="678"/>
      <c r="H412" s="552"/>
      <c r="J412" s="622"/>
      <c r="K412" s="560"/>
      <c r="L412" s="560"/>
      <c r="M412" s="560"/>
      <c r="N412" s="560"/>
      <c r="O412" s="560"/>
      <c r="P412" s="560"/>
      <c r="Q412" s="560"/>
      <c r="R412" s="560"/>
      <c r="S412" s="560"/>
      <c r="T412" s="560"/>
      <c r="U412" s="560"/>
      <c r="V412" s="560"/>
      <c r="W412" s="552"/>
      <c r="Y412" s="289"/>
      <c r="Z412" s="289"/>
    </row>
    <row r="413" spans="3:26" s="63" customFormat="1" ht="12" x14ac:dyDescent="0.2">
      <c r="C413" s="64"/>
      <c r="D413" s="294"/>
      <c r="E413" s="301"/>
      <c r="F413" s="281"/>
      <c r="G413" s="678"/>
      <c r="H413" s="552"/>
      <c r="J413" s="622"/>
      <c r="K413" s="560"/>
      <c r="L413" s="560"/>
      <c r="M413" s="560"/>
      <c r="N413" s="560"/>
      <c r="O413" s="560"/>
      <c r="P413" s="560"/>
      <c r="Q413" s="560"/>
      <c r="R413" s="560"/>
      <c r="S413" s="560"/>
      <c r="T413" s="560"/>
      <c r="U413" s="560"/>
      <c r="V413" s="560"/>
      <c r="W413" s="552"/>
      <c r="Y413" s="289"/>
      <c r="Z413" s="289"/>
    </row>
    <row r="414" spans="3:26" s="63" customFormat="1" ht="12" x14ac:dyDescent="0.2">
      <c r="C414" s="64"/>
      <c r="D414" s="294"/>
      <c r="E414" s="301"/>
      <c r="F414" s="281"/>
      <c r="G414" s="678"/>
      <c r="H414" s="552"/>
      <c r="J414" s="622"/>
      <c r="K414" s="560"/>
      <c r="L414" s="560"/>
      <c r="M414" s="560"/>
      <c r="N414" s="560"/>
      <c r="O414" s="560"/>
      <c r="P414" s="560"/>
      <c r="Q414" s="560"/>
      <c r="R414" s="560"/>
      <c r="S414" s="560"/>
      <c r="T414" s="560"/>
      <c r="U414" s="560"/>
      <c r="V414" s="560"/>
      <c r="W414" s="552"/>
      <c r="Y414" s="289"/>
      <c r="Z414" s="289"/>
    </row>
    <row r="415" spans="3:26" s="63" customFormat="1" ht="12" x14ac:dyDescent="0.2">
      <c r="C415" s="64"/>
      <c r="D415" s="294"/>
      <c r="E415" s="301"/>
      <c r="F415" s="281"/>
      <c r="G415" s="678"/>
      <c r="H415" s="552"/>
      <c r="J415" s="622"/>
      <c r="K415" s="560"/>
      <c r="L415" s="560"/>
      <c r="M415" s="560"/>
      <c r="N415" s="560"/>
      <c r="O415" s="560"/>
      <c r="P415" s="560"/>
      <c r="Q415" s="560"/>
      <c r="R415" s="560"/>
      <c r="S415" s="560"/>
      <c r="T415" s="560"/>
      <c r="U415" s="560"/>
      <c r="V415" s="560"/>
      <c r="W415" s="552"/>
      <c r="Y415" s="289"/>
      <c r="Z415" s="289"/>
    </row>
    <row r="416" spans="3:26" s="63" customFormat="1" ht="12" x14ac:dyDescent="0.2">
      <c r="C416" s="64"/>
      <c r="D416" s="294"/>
      <c r="E416" s="301"/>
      <c r="F416" s="281"/>
      <c r="G416" s="678"/>
      <c r="H416" s="552"/>
      <c r="J416" s="622"/>
      <c r="K416" s="560"/>
      <c r="L416" s="560"/>
      <c r="M416" s="560"/>
      <c r="N416" s="560"/>
      <c r="O416" s="560"/>
      <c r="P416" s="560"/>
      <c r="Q416" s="560"/>
      <c r="R416" s="560"/>
      <c r="S416" s="560"/>
      <c r="T416" s="560"/>
      <c r="U416" s="560"/>
      <c r="V416" s="560"/>
      <c r="W416" s="552"/>
      <c r="Y416" s="289"/>
      <c r="Z416" s="289"/>
    </row>
    <row r="417" spans="3:26" s="63" customFormat="1" ht="12" x14ac:dyDescent="0.2">
      <c r="C417" s="64"/>
      <c r="D417" s="294"/>
      <c r="E417" s="301"/>
      <c r="F417" s="281"/>
      <c r="G417" s="678"/>
      <c r="H417" s="552"/>
      <c r="J417" s="622"/>
      <c r="K417" s="560"/>
      <c r="L417" s="560"/>
      <c r="M417" s="560"/>
      <c r="N417" s="560"/>
      <c r="O417" s="560"/>
      <c r="P417" s="560"/>
      <c r="Q417" s="560"/>
      <c r="R417" s="560"/>
      <c r="S417" s="560"/>
      <c r="T417" s="560"/>
      <c r="U417" s="560"/>
      <c r="V417" s="560"/>
      <c r="W417" s="552"/>
      <c r="Y417" s="289"/>
      <c r="Z417" s="289"/>
    </row>
    <row r="418" spans="3:26" s="63" customFormat="1" ht="12" x14ac:dyDescent="0.2">
      <c r="C418" s="64"/>
      <c r="D418" s="294"/>
      <c r="E418" s="301"/>
      <c r="F418" s="281"/>
      <c r="G418" s="678"/>
      <c r="H418" s="552"/>
      <c r="J418" s="622"/>
      <c r="K418" s="560"/>
      <c r="L418" s="560"/>
      <c r="M418" s="560"/>
      <c r="N418" s="560"/>
      <c r="O418" s="560"/>
      <c r="P418" s="560"/>
      <c r="Q418" s="560"/>
      <c r="R418" s="560"/>
      <c r="S418" s="560"/>
      <c r="T418" s="560"/>
      <c r="U418" s="560"/>
      <c r="V418" s="560"/>
      <c r="W418" s="552"/>
      <c r="Y418" s="289"/>
      <c r="Z418" s="289"/>
    </row>
    <row r="419" spans="3:26" s="63" customFormat="1" ht="12" x14ac:dyDescent="0.2">
      <c r="C419" s="64"/>
      <c r="D419" s="294"/>
      <c r="E419" s="301"/>
      <c r="F419" s="281"/>
      <c r="G419" s="678"/>
      <c r="H419" s="552"/>
      <c r="J419" s="622"/>
      <c r="K419" s="560"/>
      <c r="L419" s="560"/>
      <c r="M419" s="560"/>
      <c r="N419" s="560"/>
      <c r="O419" s="560"/>
      <c r="P419" s="560"/>
      <c r="Q419" s="560"/>
      <c r="R419" s="560"/>
      <c r="S419" s="560"/>
      <c r="T419" s="560"/>
      <c r="U419" s="560"/>
      <c r="V419" s="560"/>
      <c r="W419" s="552"/>
      <c r="Y419" s="289"/>
      <c r="Z419" s="289"/>
    </row>
    <row r="420" spans="3:26" s="63" customFormat="1" ht="12" x14ac:dyDescent="0.2">
      <c r="C420" s="64"/>
      <c r="D420" s="294"/>
      <c r="E420" s="301"/>
      <c r="F420" s="281"/>
      <c r="G420" s="678"/>
      <c r="H420" s="552"/>
      <c r="J420" s="622"/>
      <c r="K420" s="560"/>
      <c r="L420" s="560"/>
      <c r="M420" s="560"/>
      <c r="N420" s="560"/>
      <c r="O420" s="560"/>
      <c r="P420" s="560"/>
      <c r="Q420" s="560"/>
      <c r="R420" s="560"/>
      <c r="S420" s="560"/>
      <c r="T420" s="560"/>
      <c r="U420" s="560"/>
      <c r="V420" s="560"/>
      <c r="W420" s="552"/>
      <c r="Y420" s="289"/>
      <c r="Z420" s="289"/>
    </row>
    <row r="421" spans="3:26" s="63" customFormat="1" ht="12" x14ac:dyDescent="0.2">
      <c r="C421" s="64"/>
      <c r="D421" s="294"/>
      <c r="E421" s="301"/>
      <c r="F421" s="281"/>
      <c r="G421" s="678"/>
      <c r="H421" s="552"/>
      <c r="J421" s="622"/>
      <c r="K421" s="560"/>
      <c r="L421" s="560"/>
      <c r="M421" s="560"/>
      <c r="N421" s="560"/>
      <c r="O421" s="560"/>
      <c r="P421" s="560"/>
      <c r="Q421" s="560"/>
      <c r="R421" s="560"/>
      <c r="S421" s="560"/>
      <c r="T421" s="560"/>
      <c r="U421" s="560"/>
      <c r="V421" s="560"/>
      <c r="W421" s="552"/>
      <c r="Y421" s="289"/>
      <c r="Z421" s="289"/>
    </row>
    <row r="422" spans="3:26" s="63" customFormat="1" ht="12" x14ac:dyDescent="0.2">
      <c r="C422" s="64"/>
      <c r="D422" s="294"/>
      <c r="E422" s="301"/>
      <c r="F422" s="281"/>
      <c r="G422" s="678"/>
      <c r="H422" s="552"/>
      <c r="J422" s="622"/>
      <c r="K422" s="560"/>
      <c r="L422" s="560"/>
      <c r="M422" s="560"/>
      <c r="N422" s="560"/>
      <c r="O422" s="560"/>
      <c r="P422" s="560"/>
      <c r="Q422" s="560"/>
      <c r="R422" s="560"/>
      <c r="S422" s="560"/>
      <c r="T422" s="560"/>
      <c r="U422" s="560"/>
      <c r="V422" s="560"/>
      <c r="W422" s="552"/>
      <c r="Y422" s="289"/>
      <c r="Z422" s="289"/>
    </row>
    <row r="423" spans="3:26" s="63" customFormat="1" ht="12" x14ac:dyDescent="0.2">
      <c r="C423" s="64"/>
      <c r="D423" s="294"/>
      <c r="E423" s="301"/>
      <c r="F423" s="281"/>
      <c r="G423" s="678"/>
      <c r="H423" s="552"/>
      <c r="J423" s="622"/>
      <c r="K423" s="560"/>
      <c r="L423" s="560"/>
      <c r="M423" s="560"/>
      <c r="N423" s="560"/>
      <c r="O423" s="560"/>
      <c r="P423" s="560"/>
      <c r="Q423" s="560"/>
      <c r="R423" s="560"/>
      <c r="S423" s="560"/>
      <c r="T423" s="560"/>
      <c r="U423" s="560"/>
      <c r="V423" s="560"/>
      <c r="W423" s="552"/>
      <c r="Y423" s="289"/>
      <c r="Z423" s="289"/>
    </row>
    <row r="424" spans="3:26" s="63" customFormat="1" ht="12" x14ac:dyDescent="0.2">
      <c r="C424" s="64"/>
      <c r="D424" s="294"/>
      <c r="E424" s="301"/>
      <c r="F424" s="281"/>
      <c r="G424" s="678"/>
      <c r="H424" s="552"/>
      <c r="J424" s="622"/>
      <c r="K424" s="560"/>
      <c r="L424" s="560"/>
      <c r="M424" s="560"/>
      <c r="N424" s="560"/>
      <c r="O424" s="560"/>
      <c r="P424" s="560"/>
      <c r="Q424" s="560"/>
      <c r="R424" s="560"/>
      <c r="S424" s="560"/>
      <c r="T424" s="560"/>
      <c r="U424" s="560"/>
      <c r="V424" s="560"/>
      <c r="W424" s="552"/>
      <c r="Y424" s="289"/>
      <c r="Z424" s="289"/>
    </row>
    <row r="425" spans="3:26" s="63" customFormat="1" ht="12" x14ac:dyDescent="0.2">
      <c r="C425" s="64"/>
      <c r="D425" s="294"/>
      <c r="E425" s="301"/>
      <c r="F425" s="281"/>
      <c r="G425" s="678"/>
      <c r="H425" s="552"/>
      <c r="J425" s="622"/>
      <c r="K425" s="560"/>
      <c r="L425" s="560"/>
      <c r="M425" s="560"/>
      <c r="N425" s="560"/>
      <c r="O425" s="560"/>
      <c r="P425" s="560"/>
      <c r="Q425" s="560"/>
      <c r="R425" s="560"/>
      <c r="S425" s="560"/>
      <c r="T425" s="560"/>
      <c r="U425" s="560"/>
      <c r="V425" s="560"/>
      <c r="W425" s="552"/>
      <c r="Y425" s="289"/>
      <c r="Z425" s="289"/>
    </row>
    <row r="426" spans="3:26" s="63" customFormat="1" ht="12" x14ac:dyDescent="0.2">
      <c r="C426" s="64"/>
      <c r="D426" s="294"/>
      <c r="E426" s="301"/>
      <c r="F426" s="281"/>
      <c r="G426" s="678"/>
      <c r="H426" s="552"/>
      <c r="J426" s="622"/>
      <c r="K426" s="560"/>
      <c r="L426" s="560"/>
      <c r="M426" s="560"/>
      <c r="N426" s="560"/>
      <c r="O426" s="560"/>
      <c r="P426" s="560"/>
      <c r="Q426" s="560"/>
      <c r="R426" s="560"/>
      <c r="S426" s="560"/>
      <c r="T426" s="560"/>
      <c r="U426" s="560"/>
      <c r="V426" s="560"/>
      <c r="W426" s="552"/>
      <c r="Y426" s="289"/>
      <c r="Z426" s="289"/>
    </row>
    <row r="427" spans="3:26" s="63" customFormat="1" ht="12" x14ac:dyDescent="0.2">
      <c r="C427" s="64"/>
      <c r="D427" s="294"/>
      <c r="E427" s="301"/>
      <c r="F427" s="281"/>
      <c r="G427" s="678"/>
      <c r="H427" s="552"/>
      <c r="J427" s="622"/>
      <c r="K427" s="560"/>
      <c r="L427" s="560"/>
      <c r="M427" s="560"/>
      <c r="N427" s="560"/>
      <c r="O427" s="560"/>
      <c r="P427" s="560"/>
      <c r="Q427" s="560"/>
      <c r="R427" s="560"/>
      <c r="S427" s="560"/>
      <c r="T427" s="560"/>
      <c r="U427" s="560"/>
      <c r="V427" s="560"/>
      <c r="W427" s="552"/>
      <c r="Y427" s="289"/>
      <c r="Z427" s="289"/>
    </row>
    <row r="428" spans="3:26" s="63" customFormat="1" ht="12" x14ac:dyDescent="0.2">
      <c r="C428" s="64"/>
      <c r="D428" s="294"/>
      <c r="E428" s="301"/>
      <c r="F428" s="281"/>
      <c r="G428" s="678"/>
      <c r="H428" s="552"/>
      <c r="J428" s="622"/>
      <c r="K428" s="560"/>
      <c r="L428" s="560"/>
      <c r="M428" s="560"/>
      <c r="N428" s="560"/>
      <c r="O428" s="560"/>
      <c r="P428" s="560"/>
      <c r="Q428" s="560"/>
      <c r="R428" s="560"/>
      <c r="S428" s="560"/>
      <c r="T428" s="560"/>
      <c r="U428" s="560"/>
      <c r="V428" s="560"/>
      <c r="W428" s="552"/>
      <c r="Y428" s="289"/>
      <c r="Z428" s="289"/>
    </row>
    <row r="429" spans="3:26" s="63" customFormat="1" ht="12" x14ac:dyDescent="0.2">
      <c r="C429" s="64"/>
      <c r="D429" s="294"/>
      <c r="E429" s="301"/>
      <c r="F429" s="281"/>
      <c r="G429" s="678"/>
      <c r="H429" s="552"/>
      <c r="J429" s="622"/>
      <c r="K429" s="560"/>
      <c r="L429" s="560"/>
      <c r="M429" s="560"/>
      <c r="N429" s="560"/>
      <c r="O429" s="560"/>
      <c r="P429" s="560"/>
      <c r="Q429" s="560"/>
      <c r="R429" s="560"/>
      <c r="S429" s="560"/>
      <c r="T429" s="560"/>
      <c r="U429" s="560"/>
      <c r="V429" s="560"/>
      <c r="W429" s="552"/>
      <c r="Y429" s="289"/>
      <c r="Z429" s="289"/>
    </row>
    <row r="430" spans="3:26" s="63" customFormat="1" ht="12" x14ac:dyDescent="0.2">
      <c r="C430" s="64"/>
      <c r="D430" s="294"/>
      <c r="E430" s="301"/>
      <c r="F430" s="281"/>
      <c r="G430" s="678"/>
      <c r="H430" s="552"/>
      <c r="J430" s="622"/>
      <c r="K430" s="560"/>
      <c r="L430" s="560"/>
      <c r="M430" s="560"/>
      <c r="N430" s="560"/>
      <c r="O430" s="560"/>
      <c r="P430" s="560"/>
      <c r="Q430" s="560"/>
      <c r="R430" s="560"/>
      <c r="S430" s="560"/>
      <c r="T430" s="560"/>
      <c r="U430" s="560"/>
      <c r="V430" s="560"/>
      <c r="W430" s="552"/>
      <c r="Y430" s="289"/>
      <c r="Z430" s="289"/>
    </row>
    <row r="431" spans="3:26" s="63" customFormat="1" ht="12" x14ac:dyDescent="0.2">
      <c r="C431" s="64"/>
      <c r="D431" s="294"/>
      <c r="E431" s="301"/>
      <c r="F431" s="281"/>
      <c r="G431" s="678"/>
      <c r="H431" s="552"/>
      <c r="J431" s="622"/>
      <c r="K431" s="560"/>
      <c r="L431" s="560"/>
      <c r="M431" s="560"/>
      <c r="N431" s="560"/>
      <c r="O431" s="560"/>
      <c r="P431" s="560"/>
      <c r="Q431" s="560"/>
      <c r="R431" s="560"/>
      <c r="S431" s="560"/>
      <c r="T431" s="560"/>
      <c r="U431" s="560"/>
      <c r="V431" s="560"/>
      <c r="W431" s="552"/>
      <c r="Y431" s="289"/>
      <c r="Z431" s="289"/>
    </row>
    <row r="432" spans="3:26" s="63" customFormat="1" ht="12" x14ac:dyDescent="0.2">
      <c r="C432" s="64"/>
      <c r="D432" s="294"/>
      <c r="E432" s="301"/>
      <c r="F432" s="281"/>
      <c r="G432" s="678"/>
      <c r="H432" s="552"/>
      <c r="J432" s="622"/>
      <c r="K432" s="560"/>
      <c r="L432" s="560"/>
      <c r="M432" s="560"/>
      <c r="N432" s="560"/>
      <c r="O432" s="560"/>
      <c r="P432" s="560"/>
      <c r="Q432" s="560"/>
      <c r="R432" s="560"/>
      <c r="S432" s="560"/>
      <c r="T432" s="560"/>
      <c r="U432" s="560"/>
      <c r="V432" s="560"/>
      <c r="W432" s="552"/>
      <c r="Y432" s="289"/>
      <c r="Z432" s="289"/>
    </row>
    <row r="433" spans="3:26" s="63" customFormat="1" ht="12" x14ac:dyDescent="0.2">
      <c r="C433" s="64"/>
      <c r="D433" s="294"/>
      <c r="E433" s="301"/>
      <c r="F433" s="281"/>
      <c r="G433" s="678"/>
      <c r="H433" s="552"/>
      <c r="J433" s="622"/>
      <c r="K433" s="560"/>
      <c r="L433" s="560"/>
      <c r="M433" s="560"/>
      <c r="N433" s="560"/>
      <c r="O433" s="560"/>
      <c r="P433" s="560"/>
      <c r="Q433" s="560"/>
      <c r="R433" s="560"/>
      <c r="S433" s="560"/>
      <c r="T433" s="560"/>
      <c r="U433" s="560"/>
      <c r="V433" s="560"/>
      <c r="W433" s="552"/>
      <c r="Y433" s="289"/>
      <c r="Z433" s="289"/>
    </row>
    <row r="434" spans="3:26" s="63" customFormat="1" ht="12" x14ac:dyDescent="0.2">
      <c r="C434" s="64"/>
      <c r="D434" s="294"/>
      <c r="E434" s="301"/>
      <c r="F434" s="281"/>
      <c r="G434" s="678"/>
      <c r="H434" s="552"/>
      <c r="J434" s="622"/>
      <c r="K434" s="560"/>
      <c r="L434" s="560"/>
      <c r="M434" s="560"/>
      <c r="N434" s="560"/>
      <c r="O434" s="560"/>
      <c r="P434" s="560"/>
      <c r="Q434" s="560"/>
      <c r="R434" s="560"/>
      <c r="S434" s="560"/>
      <c r="T434" s="560"/>
      <c r="U434" s="560"/>
      <c r="V434" s="560"/>
      <c r="W434" s="552"/>
      <c r="Y434" s="289"/>
      <c r="Z434" s="289"/>
    </row>
    <row r="435" spans="3:26" s="63" customFormat="1" ht="12" x14ac:dyDescent="0.2">
      <c r="C435" s="64"/>
      <c r="D435" s="294"/>
      <c r="E435" s="301"/>
      <c r="F435" s="281"/>
      <c r="G435" s="678"/>
      <c r="H435" s="552"/>
      <c r="J435" s="622"/>
      <c r="K435" s="560"/>
      <c r="L435" s="560"/>
      <c r="M435" s="560"/>
      <c r="N435" s="560"/>
      <c r="O435" s="560"/>
      <c r="P435" s="560"/>
      <c r="Q435" s="560"/>
      <c r="R435" s="560"/>
      <c r="S435" s="560"/>
      <c r="T435" s="560"/>
      <c r="U435" s="560"/>
      <c r="V435" s="560"/>
      <c r="W435" s="552"/>
      <c r="Y435" s="289"/>
      <c r="Z435" s="289"/>
    </row>
    <row r="436" spans="3:26" s="63" customFormat="1" ht="12" x14ac:dyDescent="0.2">
      <c r="C436" s="64"/>
      <c r="D436" s="294"/>
      <c r="E436" s="301"/>
      <c r="F436" s="281"/>
      <c r="G436" s="678"/>
      <c r="H436" s="552"/>
      <c r="J436" s="622"/>
      <c r="K436" s="560"/>
      <c r="L436" s="560"/>
      <c r="M436" s="560"/>
      <c r="N436" s="560"/>
      <c r="O436" s="560"/>
      <c r="P436" s="560"/>
      <c r="Q436" s="560"/>
      <c r="R436" s="560"/>
      <c r="S436" s="560"/>
      <c r="T436" s="560"/>
      <c r="U436" s="560"/>
      <c r="V436" s="560"/>
      <c r="W436" s="552"/>
      <c r="Y436" s="289"/>
      <c r="Z436" s="289"/>
    </row>
    <row r="437" spans="3:26" s="63" customFormat="1" ht="12" x14ac:dyDescent="0.2">
      <c r="C437" s="64"/>
      <c r="D437" s="294"/>
      <c r="E437" s="301"/>
      <c r="F437" s="281"/>
      <c r="G437" s="678"/>
      <c r="H437" s="552"/>
      <c r="J437" s="622"/>
      <c r="K437" s="560"/>
      <c r="L437" s="560"/>
      <c r="M437" s="560"/>
      <c r="N437" s="560"/>
      <c r="O437" s="560"/>
      <c r="P437" s="560"/>
      <c r="Q437" s="560"/>
      <c r="R437" s="560"/>
      <c r="S437" s="560"/>
      <c r="T437" s="560"/>
      <c r="U437" s="560"/>
      <c r="V437" s="560"/>
      <c r="W437" s="552"/>
      <c r="Y437" s="289"/>
      <c r="Z437" s="289"/>
    </row>
    <row r="438" spans="3:26" s="63" customFormat="1" ht="12" x14ac:dyDescent="0.2">
      <c r="C438" s="64"/>
      <c r="D438" s="294"/>
      <c r="E438" s="301"/>
      <c r="F438" s="281"/>
      <c r="G438" s="678"/>
      <c r="H438" s="552"/>
      <c r="J438" s="622"/>
      <c r="K438" s="560"/>
      <c r="L438" s="560"/>
      <c r="M438" s="560"/>
      <c r="N438" s="560"/>
      <c r="O438" s="560"/>
      <c r="P438" s="560"/>
      <c r="Q438" s="560"/>
      <c r="R438" s="560"/>
      <c r="S438" s="560"/>
      <c r="T438" s="560"/>
      <c r="U438" s="560"/>
      <c r="V438" s="560"/>
      <c r="W438" s="552"/>
      <c r="Y438" s="289"/>
      <c r="Z438" s="289"/>
    </row>
    <row r="439" spans="3:26" s="63" customFormat="1" ht="12" x14ac:dyDescent="0.2">
      <c r="C439" s="64"/>
      <c r="D439" s="294"/>
      <c r="E439" s="301"/>
      <c r="F439" s="281"/>
      <c r="G439" s="678"/>
      <c r="H439" s="552"/>
      <c r="J439" s="622"/>
      <c r="K439" s="560"/>
      <c r="L439" s="560"/>
      <c r="M439" s="560"/>
      <c r="N439" s="560"/>
      <c r="O439" s="560"/>
      <c r="P439" s="560"/>
      <c r="Q439" s="560"/>
      <c r="R439" s="560"/>
      <c r="S439" s="560"/>
      <c r="T439" s="560"/>
      <c r="U439" s="560"/>
      <c r="V439" s="560"/>
      <c r="W439" s="552"/>
      <c r="Y439" s="289"/>
      <c r="Z439" s="289"/>
    </row>
    <row r="440" spans="3:26" s="63" customFormat="1" ht="12" x14ac:dyDescent="0.2">
      <c r="C440" s="64"/>
      <c r="D440" s="294"/>
      <c r="E440" s="301"/>
      <c r="F440" s="281"/>
      <c r="G440" s="678"/>
      <c r="H440" s="552"/>
      <c r="J440" s="622"/>
      <c r="K440" s="560"/>
      <c r="L440" s="560"/>
      <c r="M440" s="560"/>
      <c r="N440" s="560"/>
      <c r="O440" s="560"/>
      <c r="P440" s="560"/>
      <c r="Q440" s="560"/>
      <c r="R440" s="560"/>
      <c r="S440" s="560"/>
      <c r="T440" s="560"/>
      <c r="U440" s="560"/>
      <c r="V440" s="560"/>
      <c r="W440" s="552"/>
      <c r="Y440" s="289"/>
      <c r="Z440" s="289"/>
    </row>
    <row r="441" spans="3:26" s="63" customFormat="1" ht="12" x14ac:dyDescent="0.2">
      <c r="C441" s="64"/>
      <c r="D441" s="294"/>
      <c r="E441" s="301"/>
      <c r="F441" s="281"/>
      <c r="G441" s="678"/>
      <c r="H441" s="552"/>
      <c r="J441" s="622"/>
      <c r="K441" s="560"/>
      <c r="L441" s="560"/>
      <c r="M441" s="560"/>
      <c r="N441" s="560"/>
      <c r="O441" s="560"/>
      <c r="P441" s="560"/>
      <c r="Q441" s="560"/>
      <c r="R441" s="560"/>
      <c r="S441" s="560"/>
      <c r="T441" s="560"/>
      <c r="U441" s="560"/>
      <c r="V441" s="560"/>
      <c r="W441" s="552"/>
      <c r="Y441" s="289"/>
      <c r="Z441" s="289"/>
    </row>
    <row r="442" spans="3:26" s="63" customFormat="1" ht="12" x14ac:dyDescent="0.2">
      <c r="C442" s="64"/>
      <c r="D442" s="294"/>
      <c r="E442" s="301"/>
      <c r="F442" s="281"/>
      <c r="G442" s="678"/>
      <c r="H442" s="552"/>
      <c r="J442" s="622"/>
      <c r="K442" s="560"/>
      <c r="L442" s="560"/>
      <c r="M442" s="560"/>
      <c r="N442" s="560"/>
      <c r="O442" s="560"/>
      <c r="P442" s="560"/>
      <c r="Q442" s="560"/>
      <c r="R442" s="560"/>
      <c r="S442" s="560"/>
      <c r="T442" s="560"/>
      <c r="U442" s="560"/>
      <c r="V442" s="560"/>
      <c r="W442" s="552"/>
      <c r="Y442" s="289"/>
      <c r="Z442" s="289"/>
    </row>
    <row r="443" spans="3:26" s="63" customFormat="1" ht="12" x14ac:dyDescent="0.2">
      <c r="C443" s="64"/>
      <c r="D443" s="294"/>
      <c r="E443" s="301"/>
      <c r="F443" s="281"/>
      <c r="G443" s="678"/>
      <c r="H443" s="552"/>
      <c r="J443" s="622"/>
      <c r="K443" s="560"/>
      <c r="L443" s="560"/>
      <c r="M443" s="560"/>
      <c r="N443" s="560"/>
      <c r="O443" s="560"/>
      <c r="P443" s="560"/>
      <c r="Q443" s="560"/>
      <c r="R443" s="560"/>
      <c r="S443" s="560"/>
      <c r="T443" s="560"/>
      <c r="U443" s="560"/>
      <c r="V443" s="560"/>
      <c r="W443" s="552"/>
      <c r="Y443" s="289"/>
      <c r="Z443" s="289"/>
    </row>
    <row r="444" spans="3:26" s="63" customFormat="1" ht="12" x14ac:dyDescent="0.2">
      <c r="C444" s="64"/>
      <c r="D444" s="294"/>
      <c r="E444" s="301"/>
      <c r="F444" s="281"/>
      <c r="G444" s="678"/>
      <c r="H444" s="552"/>
      <c r="J444" s="622"/>
      <c r="K444" s="560"/>
      <c r="L444" s="560"/>
      <c r="M444" s="560"/>
      <c r="N444" s="560"/>
      <c r="O444" s="560"/>
      <c r="P444" s="560"/>
      <c r="Q444" s="560"/>
      <c r="R444" s="560"/>
      <c r="S444" s="560"/>
      <c r="T444" s="560"/>
      <c r="U444" s="560"/>
      <c r="V444" s="560"/>
      <c r="W444" s="552"/>
      <c r="Y444" s="289"/>
      <c r="Z444" s="289"/>
    </row>
    <row r="445" spans="3:26" s="63" customFormat="1" ht="12" x14ac:dyDescent="0.2">
      <c r="C445" s="64"/>
      <c r="D445" s="294"/>
      <c r="E445" s="301"/>
      <c r="F445" s="281"/>
      <c r="G445" s="678"/>
      <c r="H445" s="552"/>
      <c r="J445" s="622"/>
      <c r="K445" s="560"/>
      <c r="L445" s="560"/>
      <c r="M445" s="560"/>
      <c r="N445" s="560"/>
      <c r="O445" s="560"/>
      <c r="P445" s="560"/>
      <c r="Q445" s="560"/>
      <c r="R445" s="560"/>
      <c r="S445" s="560"/>
      <c r="T445" s="560"/>
      <c r="U445" s="560"/>
      <c r="V445" s="560"/>
      <c r="W445" s="552"/>
      <c r="Y445" s="289"/>
      <c r="Z445" s="289"/>
    </row>
    <row r="446" spans="3:26" s="63" customFormat="1" ht="12" x14ac:dyDescent="0.2">
      <c r="C446" s="64"/>
      <c r="D446" s="294"/>
      <c r="E446" s="301"/>
      <c r="F446" s="281"/>
      <c r="G446" s="678"/>
      <c r="H446" s="552"/>
      <c r="J446" s="622"/>
      <c r="K446" s="560"/>
      <c r="L446" s="560"/>
      <c r="M446" s="560"/>
      <c r="N446" s="560"/>
      <c r="O446" s="560"/>
      <c r="P446" s="560"/>
      <c r="Q446" s="560"/>
      <c r="R446" s="560"/>
      <c r="S446" s="560"/>
      <c r="T446" s="560"/>
      <c r="U446" s="560"/>
      <c r="V446" s="560"/>
      <c r="W446" s="552"/>
      <c r="Y446" s="289"/>
      <c r="Z446" s="289"/>
    </row>
    <row r="447" spans="3:26" s="63" customFormat="1" ht="12" x14ac:dyDescent="0.2">
      <c r="C447" s="64"/>
      <c r="D447" s="294"/>
      <c r="E447" s="301"/>
      <c r="F447" s="281"/>
      <c r="G447" s="678"/>
      <c r="H447" s="552"/>
      <c r="J447" s="622"/>
      <c r="K447" s="560"/>
      <c r="L447" s="560"/>
      <c r="M447" s="560"/>
      <c r="N447" s="560"/>
      <c r="O447" s="560"/>
      <c r="P447" s="560"/>
      <c r="Q447" s="560"/>
      <c r="R447" s="560"/>
      <c r="S447" s="560"/>
      <c r="T447" s="560"/>
      <c r="U447" s="560"/>
      <c r="V447" s="560"/>
      <c r="W447" s="552"/>
      <c r="Y447" s="289"/>
      <c r="Z447" s="289"/>
    </row>
    <row r="448" spans="3:26" s="63" customFormat="1" ht="12" x14ac:dyDescent="0.2">
      <c r="C448" s="64"/>
      <c r="D448" s="294"/>
      <c r="E448" s="301"/>
      <c r="F448" s="281"/>
      <c r="G448" s="678"/>
      <c r="H448" s="552"/>
      <c r="J448" s="622"/>
      <c r="K448" s="560"/>
      <c r="L448" s="560"/>
      <c r="M448" s="560"/>
      <c r="N448" s="560"/>
      <c r="O448" s="560"/>
      <c r="P448" s="560"/>
      <c r="Q448" s="560"/>
      <c r="R448" s="560"/>
      <c r="S448" s="560"/>
      <c r="T448" s="560"/>
      <c r="U448" s="560"/>
      <c r="V448" s="560"/>
      <c r="W448" s="552"/>
      <c r="Y448" s="289"/>
      <c r="Z448" s="289"/>
    </row>
    <row r="449" spans="3:26" s="63" customFormat="1" ht="12" x14ac:dyDescent="0.2">
      <c r="C449" s="64"/>
      <c r="D449" s="294"/>
      <c r="E449" s="301"/>
      <c r="F449" s="281"/>
      <c r="G449" s="678"/>
      <c r="H449" s="552"/>
      <c r="J449" s="622"/>
      <c r="K449" s="560"/>
      <c r="L449" s="560"/>
      <c r="M449" s="560"/>
      <c r="N449" s="560"/>
      <c r="O449" s="560"/>
      <c r="P449" s="560"/>
      <c r="Q449" s="560"/>
      <c r="R449" s="560"/>
      <c r="S449" s="560"/>
      <c r="T449" s="560"/>
      <c r="U449" s="560"/>
      <c r="V449" s="560"/>
      <c r="W449" s="552"/>
      <c r="Y449" s="289"/>
      <c r="Z449" s="289"/>
    </row>
    <row r="450" spans="3:26" s="63" customFormat="1" ht="12" x14ac:dyDescent="0.2">
      <c r="C450" s="64"/>
      <c r="D450" s="294"/>
      <c r="E450" s="301"/>
      <c r="F450" s="281"/>
      <c r="G450" s="678"/>
      <c r="H450" s="552"/>
      <c r="J450" s="622"/>
      <c r="K450" s="560"/>
      <c r="L450" s="560"/>
      <c r="M450" s="560"/>
      <c r="N450" s="560"/>
      <c r="O450" s="560"/>
      <c r="P450" s="560"/>
      <c r="Q450" s="560"/>
      <c r="R450" s="560"/>
      <c r="S450" s="560"/>
      <c r="T450" s="560"/>
      <c r="U450" s="560"/>
      <c r="V450" s="560"/>
      <c r="W450" s="552"/>
      <c r="Y450" s="289"/>
      <c r="Z450" s="289"/>
    </row>
    <row r="451" spans="3:26" s="63" customFormat="1" ht="12" x14ac:dyDescent="0.2">
      <c r="C451" s="64"/>
      <c r="D451" s="294"/>
      <c r="E451" s="301"/>
      <c r="F451" s="281"/>
      <c r="G451" s="678"/>
      <c r="H451" s="552"/>
      <c r="J451" s="622"/>
      <c r="K451" s="560"/>
      <c r="L451" s="560"/>
      <c r="M451" s="560"/>
      <c r="N451" s="560"/>
      <c r="O451" s="560"/>
      <c r="P451" s="560"/>
      <c r="Q451" s="560"/>
      <c r="R451" s="560"/>
      <c r="S451" s="560"/>
      <c r="T451" s="560"/>
      <c r="U451" s="560"/>
      <c r="V451" s="560"/>
      <c r="W451" s="552"/>
      <c r="Y451" s="289"/>
      <c r="Z451" s="289"/>
    </row>
    <row r="452" spans="3:26" s="63" customFormat="1" ht="12" x14ac:dyDescent="0.2">
      <c r="C452" s="64"/>
      <c r="D452" s="294"/>
      <c r="E452" s="301"/>
      <c r="F452" s="281"/>
      <c r="G452" s="678"/>
      <c r="H452" s="552"/>
      <c r="J452" s="622"/>
      <c r="K452" s="560"/>
      <c r="L452" s="560"/>
      <c r="M452" s="560"/>
      <c r="N452" s="560"/>
      <c r="O452" s="560"/>
      <c r="P452" s="560"/>
      <c r="Q452" s="560"/>
      <c r="R452" s="560"/>
      <c r="S452" s="560"/>
      <c r="T452" s="560"/>
      <c r="U452" s="560"/>
      <c r="V452" s="560"/>
      <c r="W452" s="552"/>
      <c r="Y452" s="289"/>
      <c r="Z452" s="289"/>
    </row>
    <row r="453" spans="3:26" s="63" customFormat="1" ht="12" x14ac:dyDescent="0.2">
      <c r="C453" s="64"/>
      <c r="D453" s="294"/>
      <c r="E453" s="301"/>
      <c r="F453" s="281"/>
      <c r="G453" s="678"/>
      <c r="H453" s="552"/>
      <c r="J453" s="622"/>
      <c r="K453" s="560"/>
      <c r="L453" s="560"/>
      <c r="M453" s="560"/>
      <c r="N453" s="560"/>
      <c r="O453" s="560"/>
      <c r="P453" s="560"/>
      <c r="Q453" s="560"/>
      <c r="R453" s="560"/>
      <c r="S453" s="560"/>
      <c r="T453" s="560"/>
      <c r="U453" s="560"/>
      <c r="V453" s="560"/>
      <c r="W453" s="552"/>
      <c r="Y453" s="289"/>
      <c r="Z453" s="289"/>
    </row>
    <row r="454" spans="3:26" s="63" customFormat="1" ht="12" x14ac:dyDescent="0.2">
      <c r="C454" s="64"/>
      <c r="D454" s="294"/>
      <c r="E454" s="301"/>
      <c r="F454" s="281"/>
      <c r="G454" s="678"/>
      <c r="H454" s="552"/>
      <c r="J454" s="622"/>
      <c r="K454" s="560"/>
      <c r="L454" s="560"/>
      <c r="M454" s="560"/>
      <c r="N454" s="560"/>
      <c r="O454" s="560"/>
      <c r="P454" s="560"/>
      <c r="Q454" s="560"/>
      <c r="R454" s="560"/>
      <c r="S454" s="560"/>
      <c r="T454" s="560"/>
      <c r="U454" s="560"/>
      <c r="V454" s="560"/>
      <c r="W454" s="552"/>
      <c r="Y454" s="289"/>
      <c r="Z454" s="289"/>
    </row>
    <row r="455" spans="3:26" s="63" customFormat="1" ht="12" x14ac:dyDescent="0.2">
      <c r="C455" s="64"/>
      <c r="D455" s="294"/>
      <c r="E455" s="301"/>
      <c r="F455" s="281"/>
      <c r="G455" s="678"/>
      <c r="H455" s="552"/>
      <c r="J455" s="622"/>
      <c r="K455" s="560"/>
      <c r="L455" s="560"/>
      <c r="M455" s="560"/>
      <c r="N455" s="560"/>
      <c r="O455" s="560"/>
      <c r="P455" s="560"/>
      <c r="Q455" s="560"/>
      <c r="R455" s="560"/>
      <c r="S455" s="560"/>
      <c r="T455" s="560"/>
      <c r="U455" s="560"/>
      <c r="V455" s="560"/>
      <c r="W455" s="552"/>
      <c r="Y455" s="289"/>
      <c r="Z455" s="289"/>
    </row>
    <row r="456" spans="3:26" s="63" customFormat="1" ht="12" x14ac:dyDescent="0.2">
      <c r="C456" s="64"/>
      <c r="D456" s="294"/>
      <c r="E456" s="301"/>
      <c r="F456" s="281"/>
      <c r="G456" s="678"/>
      <c r="H456" s="552"/>
      <c r="J456" s="622"/>
      <c r="K456" s="560"/>
      <c r="L456" s="560"/>
      <c r="M456" s="560"/>
      <c r="N456" s="560"/>
      <c r="O456" s="560"/>
      <c r="P456" s="560"/>
      <c r="Q456" s="560"/>
      <c r="R456" s="560"/>
      <c r="S456" s="560"/>
      <c r="T456" s="560"/>
      <c r="U456" s="560"/>
      <c r="V456" s="560"/>
      <c r="W456" s="552"/>
      <c r="Y456" s="289"/>
      <c r="Z456" s="289"/>
    </row>
    <row r="457" spans="3:26" s="63" customFormat="1" ht="12" x14ac:dyDescent="0.2">
      <c r="C457" s="64"/>
      <c r="D457" s="294"/>
      <c r="E457" s="301"/>
      <c r="F457" s="281"/>
      <c r="G457" s="678"/>
      <c r="H457" s="552"/>
      <c r="J457" s="622"/>
      <c r="K457" s="560"/>
      <c r="L457" s="560"/>
      <c r="M457" s="560"/>
      <c r="N457" s="560"/>
      <c r="O457" s="560"/>
      <c r="P457" s="560"/>
      <c r="Q457" s="560"/>
      <c r="R457" s="560"/>
      <c r="S457" s="560"/>
      <c r="T457" s="560"/>
      <c r="U457" s="560"/>
      <c r="V457" s="560"/>
      <c r="W457" s="552"/>
      <c r="Y457" s="289"/>
      <c r="Z457" s="289"/>
    </row>
    <row r="458" spans="3:26" s="63" customFormat="1" ht="12" x14ac:dyDescent="0.2">
      <c r="C458" s="64"/>
      <c r="D458" s="294"/>
      <c r="E458" s="301"/>
      <c r="F458" s="281"/>
      <c r="G458" s="678"/>
      <c r="H458" s="552"/>
      <c r="J458" s="622"/>
      <c r="K458" s="560"/>
      <c r="L458" s="560"/>
      <c r="M458" s="560"/>
      <c r="N458" s="560"/>
      <c r="O458" s="560"/>
      <c r="P458" s="560"/>
      <c r="Q458" s="560"/>
      <c r="R458" s="560"/>
      <c r="S458" s="560"/>
      <c r="T458" s="560"/>
      <c r="U458" s="560"/>
      <c r="V458" s="560"/>
      <c r="W458" s="552"/>
      <c r="Y458" s="289"/>
      <c r="Z458" s="289"/>
    </row>
    <row r="459" spans="3:26" s="63" customFormat="1" ht="12" x14ac:dyDescent="0.2">
      <c r="C459" s="64"/>
      <c r="D459" s="294"/>
      <c r="E459" s="301"/>
      <c r="F459" s="281"/>
      <c r="G459" s="678"/>
      <c r="H459" s="552"/>
      <c r="J459" s="622"/>
      <c r="K459" s="560"/>
      <c r="L459" s="560"/>
      <c r="M459" s="560"/>
      <c r="N459" s="560"/>
      <c r="O459" s="560"/>
      <c r="P459" s="560"/>
      <c r="Q459" s="560"/>
      <c r="R459" s="560"/>
      <c r="S459" s="560"/>
      <c r="T459" s="560"/>
      <c r="U459" s="560"/>
      <c r="V459" s="560"/>
      <c r="W459" s="552"/>
      <c r="Y459" s="289"/>
      <c r="Z459" s="289"/>
    </row>
    <row r="460" spans="3:26" s="63" customFormat="1" ht="12" x14ac:dyDescent="0.2">
      <c r="C460" s="64"/>
      <c r="D460" s="294"/>
      <c r="E460" s="301"/>
      <c r="F460" s="281"/>
      <c r="G460" s="678"/>
      <c r="H460" s="552"/>
      <c r="J460" s="622"/>
      <c r="K460" s="560"/>
      <c r="L460" s="560"/>
      <c r="M460" s="560"/>
      <c r="N460" s="560"/>
      <c r="O460" s="560"/>
      <c r="P460" s="560"/>
      <c r="Q460" s="560"/>
      <c r="R460" s="560"/>
      <c r="S460" s="560"/>
      <c r="T460" s="560"/>
      <c r="U460" s="560"/>
      <c r="V460" s="560"/>
      <c r="W460" s="552"/>
      <c r="Y460" s="289"/>
      <c r="Z460" s="289"/>
    </row>
    <row r="461" spans="3:26" s="63" customFormat="1" ht="12" x14ac:dyDescent="0.2">
      <c r="C461" s="64"/>
      <c r="D461" s="294"/>
      <c r="E461" s="301"/>
      <c r="F461" s="281"/>
      <c r="G461" s="678"/>
      <c r="H461" s="552"/>
      <c r="J461" s="622"/>
      <c r="K461" s="560"/>
      <c r="L461" s="560"/>
      <c r="M461" s="560"/>
      <c r="N461" s="560"/>
      <c r="O461" s="560"/>
      <c r="P461" s="560"/>
      <c r="Q461" s="560"/>
      <c r="R461" s="560"/>
      <c r="S461" s="560"/>
      <c r="T461" s="560"/>
      <c r="U461" s="560"/>
      <c r="V461" s="560"/>
      <c r="W461" s="552"/>
      <c r="Y461" s="289"/>
      <c r="Z461" s="289"/>
    </row>
    <row r="462" spans="3:26" s="63" customFormat="1" ht="12" x14ac:dyDescent="0.2">
      <c r="C462" s="64"/>
      <c r="D462" s="294"/>
      <c r="E462" s="301"/>
      <c r="F462" s="281"/>
      <c r="G462" s="678"/>
      <c r="H462" s="552"/>
      <c r="J462" s="622"/>
      <c r="K462" s="560"/>
      <c r="L462" s="560"/>
      <c r="M462" s="560"/>
      <c r="N462" s="560"/>
      <c r="O462" s="560"/>
      <c r="P462" s="560"/>
      <c r="Q462" s="560"/>
      <c r="R462" s="560"/>
      <c r="S462" s="560"/>
      <c r="T462" s="560"/>
      <c r="U462" s="560"/>
      <c r="V462" s="560"/>
      <c r="W462" s="552"/>
      <c r="Y462" s="289"/>
      <c r="Z462" s="289"/>
    </row>
    <row r="463" spans="3:26" s="63" customFormat="1" ht="12" x14ac:dyDescent="0.2">
      <c r="C463" s="64"/>
      <c r="D463" s="294"/>
      <c r="E463" s="301"/>
      <c r="F463" s="281"/>
      <c r="G463" s="678"/>
      <c r="H463" s="552"/>
      <c r="J463" s="622"/>
      <c r="K463" s="560"/>
      <c r="L463" s="560"/>
      <c r="M463" s="560"/>
      <c r="N463" s="560"/>
      <c r="O463" s="560"/>
      <c r="P463" s="560"/>
      <c r="Q463" s="560"/>
      <c r="R463" s="560"/>
      <c r="S463" s="560"/>
      <c r="T463" s="560"/>
      <c r="U463" s="560"/>
      <c r="V463" s="560"/>
      <c r="W463" s="552"/>
      <c r="Y463" s="289"/>
      <c r="Z463" s="289"/>
    </row>
    <row r="464" spans="3:26" s="63" customFormat="1" ht="12" x14ac:dyDescent="0.2">
      <c r="C464" s="64"/>
      <c r="D464" s="294"/>
      <c r="E464" s="301"/>
      <c r="F464" s="281"/>
      <c r="G464" s="678"/>
      <c r="H464" s="552"/>
      <c r="J464" s="622"/>
      <c r="K464" s="560"/>
      <c r="L464" s="560"/>
      <c r="M464" s="560"/>
      <c r="N464" s="560"/>
      <c r="O464" s="560"/>
      <c r="P464" s="560"/>
      <c r="Q464" s="560"/>
      <c r="R464" s="560"/>
      <c r="S464" s="560"/>
      <c r="T464" s="560"/>
      <c r="U464" s="560"/>
      <c r="V464" s="560"/>
      <c r="W464" s="552"/>
      <c r="Y464" s="289"/>
      <c r="Z464" s="289"/>
    </row>
    <row r="465" spans="3:26" s="63" customFormat="1" ht="12" x14ac:dyDescent="0.2">
      <c r="C465" s="64"/>
      <c r="D465" s="294"/>
      <c r="E465" s="301"/>
      <c r="F465" s="281"/>
      <c r="G465" s="678"/>
      <c r="H465" s="552"/>
      <c r="J465" s="622"/>
      <c r="K465" s="560"/>
      <c r="L465" s="560"/>
      <c r="M465" s="560"/>
      <c r="N465" s="560"/>
      <c r="O465" s="560"/>
      <c r="P465" s="560"/>
      <c r="Q465" s="560"/>
      <c r="R465" s="560"/>
      <c r="S465" s="560"/>
      <c r="T465" s="560"/>
      <c r="U465" s="560"/>
      <c r="V465" s="560"/>
      <c r="W465" s="552"/>
      <c r="Y465" s="289"/>
      <c r="Z465" s="289"/>
    </row>
    <row r="466" spans="3:26" s="63" customFormat="1" ht="12" x14ac:dyDescent="0.2">
      <c r="C466" s="64"/>
      <c r="D466" s="294"/>
      <c r="E466" s="301"/>
      <c r="F466" s="281"/>
      <c r="G466" s="678"/>
      <c r="H466" s="552"/>
      <c r="J466" s="622"/>
      <c r="K466" s="560"/>
      <c r="L466" s="560"/>
      <c r="M466" s="560"/>
      <c r="N466" s="560"/>
      <c r="O466" s="560"/>
      <c r="P466" s="560"/>
      <c r="Q466" s="560"/>
      <c r="R466" s="560"/>
      <c r="S466" s="560"/>
      <c r="T466" s="560"/>
      <c r="U466" s="560"/>
      <c r="V466" s="560"/>
      <c r="W466" s="552"/>
      <c r="Y466" s="289"/>
      <c r="Z466" s="289"/>
    </row>
    <row r="467" spans="3:26" s="63" customFormat="1" ht="12" x14ac:dyDescent="0.2">
      <c r="C467" s="64"/>
      <c r="D467" s="294"/>
      <c r="E467" s="301"/>
      <c r="F467" s="281"/>
      <c r="G467" s="678"/>
      <c r="H467" s="552"/>
      <c r="J467" s="622"/>
      <c r="K467" s="560"/>
      <c r="L467" s="560"/>
      <c r="M467" s="560"/>
      <c r="N467" s="560"/>
      <c r="O467" s="560"/>
      <c r="P467" s="560"/>
      <c r="Q467" s="560"/>
      <c r="R467" s="560"/>
      <c r="S467" s="560"/>
      <c r="T467" s="560"/>
      <c r="U467" s="560"/>
      <c r="V467" s="560"/>
      <c r="W467" s="552"/>
      <c r="Y467" s="289"/>
      <c r="Z467" s="289"/>
    </row>
    <row r="468" spans="3:26" s="63" customFormat="1" ht="12" x14ac:dyDescent="0.2">
      <c r="C468" s="64"/>
      <c r="D468" s="294"/>
      <c r="E468" s="301"/>
      <c r="F468" s="281"/>
      <c r="G468" s="678"/>
      <c r="H468" s="552"/>
      <c r="J468" s="622"/>
      <c r="K468" s="560"/>
      <c r="L468" s="560"/>
      <c r="M468" s="560"/>
      <c r="N468" s="560"/>
      <c r="O468" s="560"/>
      <c r="P468" s="560"/>
      <c r="Q468" s="560"/>
      <c r="R468" s="560"/>
      <c r="S468" s="560"/>
      <c r="T468" s="560"/>
      <c r="U468" s="560"/>
      <c r="V468" s="560"/>
      <c r="W468" s="552"/>
      <c r="Y468" s="289"/>
      <c r="Z468" s="289"/>
    </row>
    <row r="469" spans="3:26" s="63" customFormat="1" ht="12" x14ac:dyDescent="0.2">
      <c r="C469" s="64"/>
      <c r="D469" s="294"/>
      <c r="E469" s="301"/>
      <c r="F469" s="281"/>
      <c r="G469" s="678"/>
      <c r="H469" s="552"/>
      <c r="J469" s="622"/>
      <c r="K469" s="560"/>
      <c r="L469" s="560"/>
      <c r="M469" s="560"/>
      <c r="N469" s="560"/>
      <c r="O469" s="560"/>
      <c r="P469" s="560"/>
      <c r="Q469" s="560"/>
      <c r="R469" s="560"/>
      <c r="S469" s="560"/>
      <c r="T469" s="560"/>
      <c r="U469" s="560"/>
      <c r="V469" s="560"/>
      <c r="W469" s="552"/>
      <c r="Y469" s="289"/>
      <c r="Z469" s="289"/>
    </row>
    <row r="470" spans="3:26" s="63" customFormat="1" ht="12" x14ac:dyDescent="0.2">
      <c r="C470" s="64"/>
      <c r="D470" s="294"/>
      <c r="E470" s="301"/>
      <c r="F470" s="281"/>
      <c r="G470" s="678"/>
      <c r="H470" s="552"/>
      <c r="J470" s="622"/>
      <c r="K470" s="560"/>
      <c r="L470" s="560"/>
      <c r="M470" s="560"/>
      <c r="N470" s="560"/>
      <c r="O470" s="560"/>
      <c r="P470" s="560"/>
      <c r="Q470" s="560"/>
      <c r="R470" s="560"/>
      <c r="S470" s="560"/>
      <c r="T470" s="560"/>
      <c r="U470" s="560"/>
      <c r="V470" s="560"/>
      <c r="W470" s="552"/>
      <c r="Y470" s="289"/>
      <c r="Z470" s="289"/>
    </row>
    <row r="471" spans="3:26" s="63" customFormat="1" ht="12" x14ac:dyDescent="0.2">
      <c r="C471" s="64"/>
      <c r="D471" s="294"/>
      <c r="E471" s="301"/>
      <c r="F471" s="281"/>
      <c r="G471" s="678"/>
      <c r="H471" s="552"/>
      <c r="J471" s="622"/>
      <c r="K471" s="560"/>
      <c r="L471" s="560"/>
      <c r="M471" s="560"/>
      <c r="N471" s="560"/>
      <c r="O471" s="560"/>
      <c r="P471" s="560"/>
      <c r="Q471" s="560"/>
      <c r="R471" s="560"/>
      <c r="S471" s="560"/>
      <c r="T471" s="560"/>
      <c r="U471" s="560"/>
      <c r="V471" s="560"/>
      <c r="W471" s="552"/>
      <c r="Y471" s="289"/>
      <c r="Z471" s="289"/>
    </row>
    <row r="472" spans="3:26" s="63" customFormat="1" ht="12" x14ac:dyDescent="0.2">
      <c r="C472" s="64"/>
      <c r="D472" s="294"/>
      <c r="E472" s="301"/>
      <c r="F472" s="281"/>
      <c r="G472" s="678"/>
      <c r="H472" s="552"/>
      <c r="J472" s="622"/>
      <c r="K472" s="560"/>
      <c r="L472" s="560"/>
      <c r="M472" s="560"/>
      <c r="N472" s="560"/>
      <c r="O472" s="560"/>
      <c r="P472" s="560"/>
      <c r="Q472" s="560"/>
      <c r="R472" s="560"/>
      <c r="S472" s="560"/>
      <c r="T472" s="560"/>
      <c r="U472" s="560"/>
      <c r="V472" s="560"/>
      <c r="W472" s="552"/>
      <c r="Y472" s="289"/>
      <c r="Z472" s="289"/>
    </row>
    <row r="473" spans="3:26" s="63" customFormat="1" ht="12" x14ac:dyDescent="0.2">
      <c r="C473" s="64"/>
      <c r="D473" s="294"/>
      <c r="E473" s="301"/>
      <c r="F473" s="281"/>
      <c r="G473" s="678"/>
      <c r="H473" s="552"/>
      <c r="J473" s="622"/>
      <c r="K473" s="560"/>
      <c r="L473" s="560"/>
      <c r="M473" s="560"/>
      <c r="N473" s="560"/>
      <c r="O473" s="560"/>
      <c r="P473" s="560"/>
      <c r="Q473" s="560"/>
      <c r="R473" s="560"/>
      <c r="S473" s="560"/>
      <c r="T473" s="560"/>
      <c r="U473" s="560"/>
      <c r="V473" s="560"/>
      <c r="W473" s="552"/>
      <c r="Y473" s="289"/>
      <c r="Z473" s="289"/>
    </row>
    <row r="474" spans="3:26" s="63" customFormat="1" ht="12" x14ac:dyDescent="0.2">
      <c r="C474" s="64"/>
      <c r="D474" s="294"/>
      <c r="E474" s="301"/>
      <c r="F474" s="281"/>
      <c r="G474" s="678"/>
      <c r="H474" s="552"/>
      <c r="J474" s="622"/>
      <c r="K474" s="560"/>
      <c r="L474" s="560"/>
      <c r="M474" s="560"/>
      <c r="N474" s="560"/>
      <c r="O474" s="560"/>
      <c r="P474" s="560"/>
      <c r="Q474" s="560"/>
      <c r="R474" s="560"/>
      <c r="S474" s="560"/>
      <c r="T474" s="560"/>
      <c r="U474" s="560"/>
      <c r="V474" s="560"/>
      <c r="W474" s="552"/>
      <c r="Y474" s="289"/>
      <c r="Z474" s="289"/>
    </row>
    <row r="475" spans="3:26" s="63" customFormat="1" ht="12" x14ac:dyDescent="0.2">
      <c r="C475" s="64"/>
      <c r="D475" s="294"/>
      <c r="E475" s="301"/>
      <c r="F475" s="281"/>
      <c r="G475" s="678"/>
      <c r="H475" s="552"/>
      <c r="J475" s="622"/>
      <c r="K475" s="560"/>
      <c r="L475" s="560"/>
      <c r="M475" s="560"/>
      <c r="N475" s="560"/>
      <c r="O475" s="560"/>
      <c r="P475" s="560"/>
      <c r="Q475" s="560"/>
      <c r="R475" s="560"/>
      <c r="S475" s="560"/>
      <c r="T475" s="560"/>
      <c r="U475" s="560"/>
      <c r="V475" s="560"/>
      <c r="W475" s="552"/>
      <c r="Y475" s="289"/>
      <c r="Z475" s="289"/>
    </row>
    <row r="476" spans="3:26" s="63" customFormat="1" ht="12" x14ac:dyDescent="0.2">
      <c r="C476" s="64"/>
      <c r="D476" s="294"/>
      <c r="E476" s="301"/>
      <c r="F476" s="281"/>
      <c r="G476" s="678"/>
      <c r="H476" s="552"/>
      <c r="J476" s="622"/>
      <c r="K476" s="560"/>
      <c r="L476" s="560"/>
      <c r="M476" s="560"/>
      <c r="N476" s="560"/>
      <c r="O476" s="560"/>
      <c r="P476" s="560"/>
      <c r="Q476" s="560"/>
      <c r="R476" s="560"/>
      <c r="S476" s="560"/>
      <c r="T476" s="560"/>
      <c r="U476" s="560"/>
      <c r="V476" s="560"/>
      <c r="W476" s="552"/>
      <c r="Y476" s="289"/>
      <c r="Z476" s="289"/>
    </row>
    <row r="477" spans="3:26" s="63" customFormat="1" ht="12" x14ac:dyDescent="0.2">
      <c r="C477" s="64"/>
      <c r="D477" s="294"/>
      <c r="E477" s="301"/>
      <c r="F477" s="281"/>
      <c r="G477" s="678"/>
      <c r="H477" s="552"/>
      <c r="J477" s="622"/>
      <c r="K477" s="560"/>
      <c r="L477" s="560"/>
      <c r="M477" s="560"/>
      <c r="N477" s="560"/>
      <c r="O477" s="560"/>
      <c r="P477" s="560"/>
      <c r="Q477" s="560"/>
      <c r="R477" s="560"/>
      <c r="S477" s="560"/>
      <c r="T477" s="560"/>
      <c r="U477" s="560"/>
      <c r="V477" s="560"/>
      <c r="W477" s="552"/>
      <c r="Y477" s="289"/>
      <c r="Z477" s="289"/>
    </row>
    <row r="478" spans="3:26" s="63" customFormat="1" ht="12" x14ac:dyDescent="0.2">
      <c r="C478" s="64"/>
      <c r="D478" s="294"/>
      <c r="E478" s="301"/>
      <c r="F478" s="281"/>
      <c r="G478" s="678"/>
      <c r="H478" s="552"/>
      <c r="J478" s="622"/>
      <c r="K478" s="560"/>
      <c r="L478" s="560"/>
      <c r="M478" s="560"/>
      <c r="N478" s="560"/>
      <c r="O478" s="560"/>
      <c r="P478" s="560"/>
      <c r="Q478" s="560"/>
      <c r="R478" s="560"/>
      <c r="S478" s="560"/>
      <c r="T478" s="560"/>
      <c r="U478" s="560"/>
      <c r="V478" s="560"/>
      <c r="W478" s="552"/>
      <c r="Y478" s="289"/>
      <c r="Z478" s="289"/>
    </row>
    <row r="479" spans="3:26" s="63" customFormat="1" ht="12" x14ac:dyDescent="0.2">
      <c r="C479" s="64"/>
      <c r="D479" s="294"/>
      <c r="E479" s="301"/>
      <c r="F479" s="281"/>
      <c r="G479" s="678"/>
      <c r="H479" s="552"/>
      <c r="J479" s="622"/>
      <c r="K479" s="560"/>
      <c r="L479" s="560"/>
      <c r="M479" s="560"/>
      <c r="N479" s="560"/>
      <c r="O479" s="560"/>
      <c r="P479" s="560"/>
      <c r="Q479" s="560"/>
      <c r="R479" s="560"/>
      <c r="S479" s="560"/>
      <c r="T479" s="560"/>
      <c r="U479" s="560"/>
      <c r="V479" s="560"/>
      <c r="W479" s="552"/>
      <c r="Y479" s="289"/>
      <c r="Z479" s="289"/>
    </row>
    <row r="480" spans="3:26" s="63" customFormat="1" ht="12" x14ac:dyDescent="0.2">
      <c r="C480" s="64"/>
      <c r="D480" s="294"/>
      <c r="E480" s="301"/>
      <c r="F480" s="281"/>
      <c r="G480" s="678"/>
      <c r="H480" s="552"/>
      <c r="J480" s="622"/>
      <c r="K480" s="560"/>
      <c r="L480" s="560"/>
      <c r="M480" s="560"/>
      <c r="N480" s="560"/>
      <c r="O480" s="560"/>
      <c r="P480" s="560"/>
      <c r="Q480" s="560"/>
      <c r="R480" s="560"/>
      <c r="S480" s="560"/>
      <c r="T480" s="560"/>
      <c r="U480" s="560"/>
      <c r="V480" s="560"/>
      <c r="W480" s="552"/>
      <c r="Y480" s="289"/>
      <c r="Z480" s="289"/>
    </row>
    <row r="481" spans="3:26" s="63" customFormat="1" ht="12" x14ac:dyDescent="0.2">
      <c r="C481" s="64"/>
      <c r="D481" s="294"/>
      <c r="E481" s="301"/>
      <c r="F481" s="281"/>
      <c r="G481" s="678"/>
      <c r="H481" s="552"/>
      <c r="J481" s="622"/>
      <c r="K481" s="560"/>
      <c r="L481" s="560"/>
      <c r="M481" s="560"/>
      <c r="N481" s="560"/>
      <c r="O481" s="560"/>
      <c r="P481" s="560"/>
      <c r="Q481" s="560"/>
      <c r="R481" s="560"/>
      <c r="S481" s="560"/>
      <c r="T481" s="560"/>
      <c r="U481" s="560"/>
      <c r="V481" s="560"/>
      <c r="W481" s="552"/>
      <c r="Y481" s="289"/>
      <c r="Z481" s="289"/>
    </row>
    <row r="482" spans="3:26" s="63" customFormat="1" ht="12" x14ac:dyDescent="0.2">
      <c r="C482" s="64"/>
      <c r="D482" s="294"/>
      <c r="E482" s="301"/>
      <c r="F482" s="281"/>
      <c r="G482" s="678"/>
      <c r="H482" s="552"/>
      <c r="J482" s="622"/>
      <c r="K482" s="560"/>
      <c r="L482" s="560"/>
      <c r="M482" s="560"/>
      <c r="N482" s="560"/>
      <c r="O482" s="560"/>
      <c r="P482" s="560"/>
      <c r="Q482" s="560"/>
      <c r="R482" s="560"/>
      <c r="S482" s="560"/>
      <c r="T482" s="560"/>
      <c r="U482" s="560"/>
      <c r="V482" s="560"/>
      <c r="W482" s="552"/>
      <c r="Y482" s="289"/>
      <c r="Z482" s="289"/>
    </row>
    <row r="483" spans="3:26" s="63" customFormat="1" ht="12" x14ac:dyDescent="0.2">
      <c r="C483" s="64"/>
      <c r="D483" s="294"/>
      <c r="E483" s="301"/>
      <c r="F483" s="281"/>
      <c r="G483" s="678"/>
      <c r="H483" s="552"/>
      <c r="J483" s="622"/>
      <c r="K483" s="560"/>
      <c r="L483" s="560"/>
      <c r="M483" s="560"/>
      <c r="N483" s="560"/>
      <c r="O483" s="560"/>
      <c r="P483" s="560"/>
      <c r="Q483" s="560"/>
      <c r="R483" s="560"/>
      <c r="S483" s="560"/>
      <c r="T483" s="560"/>
      <c r="U483" s="560"/>
      <c r="V483" s="560"/>
      <c r="W483" s="552"/>
      <c r="Y483" s="289"/>
      <c r="Z483" s="289"/>
    </row>
    <row r="484" spans="3:26" s="63" customFormat="1" ht="12" x14ac:dyDescent="0.2">
      <c r="C484" s="64"/>
      <c r="D484" s="294"/>
      <c r="E484" s="301"/>
      <c r="F484" s="281"/>
      <c r="G484" s="678"/>
      <c r="H484" s="552"/>
      <c r="J484" s="622"/>
      <c r="K484" s="560"/>
      <c r="L484" s="560"/>
      <c r="M484" s="560"/>
      <c r="N484" s="560"/>
      <c r="O484" s="560"/>
      <c r="P484" s="560"/>
      <c r="Q484" s="560"/>
      <c r="R484" s="560"/>
      <c r="S484" s="560"/>
      <c r="T484" s="560"/>
      <c r="U484" s="560"/>
      <c r="V484" s="560"/>
      <c r="W484" s="552"/>
      <c r="Y484" s="289"/>
      <c r="Z484" s="289"/>
    </row>
    <row r="485" spans="3:26" s="63" customFormat="1" ht="12" x14ac:dyDescent="0.2">
      <c r="C485" s="64"/>
      <c r="D485" s="294"/>
      <c r="E485" s="301"/>
      <c r="F485" s="281"/>
      <c r="G485" s="678"/>
      <c r="H485" s="552"/>
      <c r="J485" s="622"/>
      <c r="K485" s="560"/>
      <c r="L485" s="560"/>
      <c r="M485" s="560"/>
      <c r="N485" s="560"/>
      <c r="O485" s="560"/>
      <c r="P485" s="560"/>
      <c r="Q485" s="560"/>
      <c r="R485" s="560"/>
      <c r="S485" s="560"/>
      <c r="T485" s="560"/>
      <c r="U485" s="560"/>
      <c r="V485" s="560"/>
      <c r="W485" s="552"/>
      <c r="Y485" s="289"/>
      <c r="Z485" s="289"/>
    </row>
    <row r="486" spans="3:26" s="63" customFormat="1" ht="12" x14ac:dyDescent="0.2">
      <c r="C486" s="64"/>
      <c r="D486" s="294"/>
      <c r="E486" s="301"/>
      <c r="F486" s="281"/>
      <c r="G486" s="678"/>
      <c r="H486" s="552"/>
      <c r="J486" s="622"/>
      <c r="K486" s="560"/>
      <c r="L486" s="560"/>
      <c r="M486" s="560"/>
      <c r="N486" s="560"/>
      <c r="O486" s="560"/>
      <c r="P486" s="560"/>
      <c r="Q486" s="560"/>
      <c r="R486" s="560"/>
      <c r="S486" s="560"/>
      <c r="T486" s="560"/>
      <c r="U486" s="560"/>
      <c r="V486" s="560"/>
      <c r="W486" s="552"/>
      <c r="Y486" s="289"/>
      <c r="Z486" s="289"/>
    </row>
    <row r="487" spans="3:26" s="63" customFormat="1" ht="12" x14ac:dyDescent="0.2">
      <c r="C487" s="64"/>
      <c r="D487" s="294"/>
      <c r="E487" s="301"/>
      <c r="F487" s="281"/>
      <c r="G487" s="678"/>
      <c r="H487" s="552"/>
      <c r="J487" s="622"/>
      <c r="K487" s="560"/>
      <c r="L487" s="560"/>
      <c r="M487" s="560"/>
      <c r="N487" s="560"/>
      <c r="O487" s="560"/>
      <c r="P487" s="560"/>
      <c r="Q487" s="560"/>
      <c r="R487" s="560"/>
      <c r="S487" s="560"/>
      <c r="T487" s="560"/>
      <c r="U487" s="560"/>
      <c r="V487" s="560"/>
      <c r="W487" s="552"/>
      <c r="Y487" s="289"/>
      <c r="Z487" s="289"/>
    </row>
    <row r="488" spans="3:26" s="63" customFormat="1" ht="12" x14ac:dyDescent="0.2">
      <c r="C488" s="64"/>
      <c r="D488" s="294"/>
      <c r="E488" s="301"/>
      <c r="F488" s="281"/>
      <c r="G488" s="678"/>
      <c r="H488" s="552"/>
      <c r="J488" s="622"/>
      <c r="K488" s="560"/>
      <c r="L488" s="560"/>
      <c r="M488" s="560"/>
      <c r="N488" s="560"/>
      <c r="O488" s="560"/>
      <c r="P488" s="560"/>
      <c r="Q488" s="560"/>
      <c r="R488" s="560"/>
      <c r="S488" s="560"/>
      <c r="T488" s="560"/>
      <c r="U488" s="560"/>
      <c r="V488" s="560"/>
      <c r="W488" s="552"/>
      <c r="Y488" s="289"/>
      <c r="Z488" s="289"/>
    </row>
    <row r="489" spans="3:26" s="63" customFormat="1" ht="12" x14ac:dyDescent="0.2">
      <c r="C489" s="64"/>
      <c r="D489" s="294"/>
      <c r="E489" s="301"/>
      <c r="F489" s="281"/>
      <c r="G489" s="678"/>
      <c r="H489" s="552"/>
      <c r="J489" s="622"/>
      <c r="K489" s="560"/>
      <c r="L489" s="560"/>
      <c r="M489" s="560"/>
      <c r="N489" s="560"/>
      <c r="O489" s="560"/>
      <c r="P489" s="560"/>
      <c r="Q489" s="560"/>
      <c r="R489" s="560"/>
      <c r="S489" s="560"/>
      <c r="T489" s="560"/>
      <c r="U489" s="560"/>
      <c r="V489" s="560"/>
      <c r="W489" s="552"/>
      <c r="Y489" s="289"/>
      <c r="Z489" s="289"/>
    </row>
    <row r="490" spans="3:26" s="63" customFormat="1" ht="12" x14ac:dyDescent="0.2">
      <c r="C490" s="64"/>
      <c r="D490" s="294"/>
      <c r="E490" s="301"/>
      <c r="F490" s="281"/>
      <c r="G490" s="678"/>
      <c r="H490" s="552"/>
      <c r="J490" s="622"/>
      <c r="K490" s="560"/>
      <c r="L490" s="560"/>
      <c r="M490" s="560"/>
      <c r="N490" s="560"/>
      <c r="O490" s="560"/>
      <c r="P490" s="560"/>
      <c r="Q490" s="560"/>
      <c r="R490" s="560"/>
      <c r="S490" s="560"/>
      <c r="T490" s="560"/>
      <c r="U490" s="560"/>
      <c r="V490" s="560"/>
      <c r="W490" s="552"/>
      <c r="Y490" s="289"/>
      <c r="Z490" s="289"/>
    </row>
    <row r="491" spans="3:26" s="63" customFormat="1" ht="12" x14ac:dyDescent="0.2">
      <c r="C491" s="64"/>
      <c r="D491" s="294"/>
      <c r="E491" s="301"/>
      <c r="F491" s="281"/>
      <c r="G491" s="678"/>
      <c r="H491" s="552"/>
      <c r="J491" s="622"/>
      <c r="K491" s="560"/>
      <c r="L491" s="560"/>
      <c r="M491" s="560"/>
      <c r="N491" s="560"/>
      <c r="O491" s="560"/>
      <c r="P491" s="560"/>
      <c r="Q491" s="560"/>
      <c r="R491" s="560"/>
      <c r="S491" s="560"/>
      <c r="T491" s="560"/>
      <c r="U491" s="560"/>
      <c r="V491" s="560"/>
      <c r="W491" s="552"/>
      <c r="Y491" s="289"/>
      <c r="Z491" s="289"/>
    </row>
    <row r="492" spans="3:26" s="63" customFormat="1" ht="12" x14ac:dyDescent="0.2">
      <c r="C492" s="64"/>
      <c r="D492" s="294"/>
      <c r="E492" s="301"/>
      <c r="F492" s="281"/>
      <c r="G492" s="678"/>
      <c r="H492" s="552"/>
      <c r="J492" s="622"/>
      <c r="K492" s="560"/>
      <c r="L492" s="560"/>
      <c r="M492" s="560"/>
      <c r="N492" s="560"/>
      <c r="O492" s="560"/>
      <c r="P492" s="560"/>
      <c r="Q492" s="560"/>
      <c r="R492" s="560"/>
      <c r="S492" s="560"/>
      <c r="T492" s="560"/>
      <c r="U492" s="560"/>
      <c r="V492" s="560"/>
      <c r="W492" s="552"/>
      <c r="Y492" s="289"/>
      <c r="Z492" s="289"/>
    </row>
    <row r="493" spans="3:26" s="63" customFormat="1" ht="12" x14ac:dyDescent="0.2">
      <c r="C493" s="64"/>
      <c r="D493" s="294"/>
      <c r="E493" s="301"/>
      <c r="F493" s="281"/>
      <c r="G493" s="678"/>
      <c r="H493" s="552"/>
      <c r="J493" s="622"/>
      <c r="K493" s="560"/>
      <c r="L493" s="560"/>
      <c r="M493" s="560"/>
      <c r="N493" s="560"/>
      <c r="O493" s="560"/>
      <c r="P493" s="560"/>
      <c r="Q493" s="560"/>
      <c r="R493" s="560"/>
      <c r="S493" s="560"/>
      <c r="T493" s="560"/>
      <c r="U493" s="560"/>
      <c r="V493" s="560"/>
      <c r="W493" s="552"/>
      <c r="Y493" s="289"/>
      <c r="Z493" s="289"/>
    </row>
    <row r="494" spans="3:26" s="63" customFormat="1" ht="12" x14ac:dyDescent="0.2">
      <c r="C494" s="64"/>
      <c r="D494" s="294"/>
      <c r="E494" s="301"/>
      <c r="F494" s="281"/>
      <c r="G494" s="678"/>
      <c r="H494" s="552"/>
      <c r="J494" s="622"/>
      <c r="K494" s="560"/>
      <c r="L494" s="560"/>
      <c r="M494" s="560"/>
      <c r="N494" s="560"/>
      <c r="O494" s="560"/>
      <c r="P494" s="560"/>
      <c r="Q494" s="560"/>
      <c r="R494" s="560"/>
      <c r="S494" s="560"/>
      <c r="T494" s="560"/>
      <c r="U494" s="560"/>
      <c r="V494" s="560"/>
      <c r="W494" s="552"/>
      <c r="Y494" s="289"/>
      <c r="Z494" s="289"/>
    </row>
    <row r="495" spans="3:26" s="63" customFormat="1" ht="12" x14ac:dyDescent="0.2">
      <c r="C495" s="64"/>
      <c r="D495" s="294"/>
      <c r="E495" s="301"/>
      <c r="F495" s="281"/>
      <c r="G495" s="678"/>
      <c r="H495" s="552"/>
      <c r="J495" s="622"/>
      <c r="K495" s="560"/>
      <c r="L495" s="560"/>
      <c r="M495" s="560"/>
      <c r="N495" s="560"/>
      <c r="O495" s="560"/>
      <c r="P495" s="560"/>
      <c r="Q495" s="560"/>
      <c r="R495" s="560"/>
      <c r="S495" s="560"/>
      <c r="T495" s="560"/>
      <c r="U495" s="560"/>
      <c r="V495" s="560"/>
      <c r="W495" s="552"/>
      <c r="Y495" s="289"/>
      <c r="Z495" s="289"/>
    </row>
    <row r="496" spans="3:26" s="63" customFormat="1" ht="12" x14ac:dyDescent="0.2">
      <c r="C496" s="64"/>
      <c r="D496" s="294"/>
      <c r="E496" s="301"/>
      <c r="F496" s="281"/>
      <c r="G496" s="678"/>
      <c r="H496" s="552"/>
      <c r="J496" s="622"/>
      <c r="K496" s="560"/>
      <c r="L496" s="560"/>
      <c r="M496" s="560"/>
      <c r="N496" s="560"/>
      <c r="O496" s="560"/>
      <c r="P496" s="560"/>
      <c r="Q496" s="560"/>
      <c r="R496" s="560"/>
      <c r="S496" s="560"/>
      <c r="T496" s="560"/>
      <c r="U496" s="560"/>
      <c r="V496" s="560"/>
      <c r="W496" s="552"/>
      <c r="Y496" s="289"/>
      <c r="Z496" s="289"/>
    </row>
    <row r="497" spans="3:26" s="63" customFormat="1" ht="12" x14ac:dyDescent="0.2">
      <c r="C497" s="64"/>
      <c r="D497" s="294"/>
      <c r="E497" s="301"/>
      <c r="F497" s="281"/>
      <c r="G497" s="678"/>
      <c r="H497" s="552"/>
      <c r="J497" s="622"/>
      <c r="K497" s="560"/>
      <c r="L497" s="560"/>
      <c r="M497" s="560"/>
      <c r="N497" s="560"/>
      <c r="O497" s="560"/>
      <c r="P497" s="560"/>
      <c r="Q497" s="560"/>
      <c r="R497" s="560"/>
      <c r="S497" s="560"/>
      <c r="T497" s="560"/>
      <c r="U497" s="560"/>
      <c r="V497" s="560"/>
      <c r="W497" s="552"/>
      <c r="Y497" s="289"/>
      <c r="Z497" s="289"/>
    </row>
    <row r="498" spans="3:26" s="63" customFormat="1" ht="12" x14ac:dyDescent="0.2">
      <c r="C498" s="64"/>
      <c r="D498" s="294"/>
      <c r="E498" s="301"/>
      <c r="F498" s="281"/>
      <c r="G498" s="678"/>
      <c r="H498" s="552"/>
      <c r="J498" s="622"/>
      <c r="K498" s="560"/>
      <c r="L498" s="560"/>
      <c r="M498" s="560"/>
      <c r="N498" s="560"/>
      <c r="O498" s="560"/>
      <c r="P498" s="560"/>
      <c r="Q498" s="560"/>
      <c r="R498" s="560"/>
      <c r="S498" s="560"/>
      <c r="T498" s="560"/>
      <c r="U498" s="560"/>
      <c r="V498" s="560"/>
      <c r="W498" s="552"/>
      <c r="Y498" s="289"/>
      <c r="Z498" s="289"/>
    </row>
    <row r="499" spans="3:26" s="63" customFormat="1" ht="12" x14ac:dyDescent="0.2">
      <c r="C499" s="64"/>
      <c r="D499" s="294"/>
      <c r="E499" s="301"/>
      <c r="F499" s="281"/>
      <c r="G499" s="678"/>
      <c r="H499" s="552"/>
      <c r="J499" s="622"/>
      <c r="K499" s="560"/>
      <c r="L499" s="560"/>
      <c r="M499" s="560"/>
      <c r="N499" s="560"/>
      <c r="O499" s="560"/>
      <c r="P499" s="560"/>
      <c r="Q499" s="560"/>
      <c r="R499" s="560"/>
      <c r="S499" s="560"/>
      <c r="T499" s="560"/>
      <c r="U499" s="560"/>
      <c r="V499" s="560"/>
      <c r="W499" s="552"/>
      <c r="Y499" s="289"/>
      <c r="Z499" s="289"/>
    </row>
    <row r="500" spans="3:26" s="63" customFormat="1" ht="12" x14ac:dyDescent="0.2">
      <c r="C500" s="64"/>
      <c r="D500" s="294"/>
      <c r="E500" s="301"/>
      <c r="F500" s="281"/>
      <c r="G500" s="678"/>
      <c r="H500" s="552"/>
      <c r="J500" s="622"/>
      <c r="K500" s="560"/>
      <c r="L500" s="560"/>
      <c r="M500" s="560"/>
      <c r="N500" s="560"/>
      <c r="O500" s="560"/>
      <c r="P500" s="560"/>
      <c r="Q500" s="560"/>
      <c r="R500" s="560"/>
      <c r="S500" s="560"/>
      <c r="T500" s="560"/>
      <c r="U500" s="560"/>
      <c r="V500" s="560"/>
      <c r="W500" s="552"/>
      <c r="Y500" s="289"/>
      <c r="Z500" s="289"/>
    </row>
    <row r="501" spans="3:26" s="63" customFormat="1" ht="12" x14ac:dyDescent="0.2">
      <c r="C501" s="64"/>
      <c r="D501" s="294"/>
      <c r="E501" s="301"/>
      <c r="F501" s="281"/>
      <c r="G501" s="678"/>
      <c r="H501" s="552"/>
      <c r="J501" s="622"/>
      <c r="K501" s="560"/>
      <c r="L501" s="560"/>
      <c r="M501" s="560"/>
      <c r="N501" s="560"/>
      <c r="O501" s="560"/>
      <c r="P501" s="560"/>
      <c r="Q501" s="560"/>
      <c r="R501" s="560"/>
      <c r="S501" s="560"/>
      <c r="T501" s="560"/>
      <c r="U501" s="560"/>
      <c r="V501" s="560"/>
      <c r="W501" s="552"/>
      <c r="Y501" s="289"/>
      <c r="Z501" s="289"/>
    </row>
  </sheetData>
  <sheetProtection algorithmName="SHA-512" hashValue="JmjiPVGpXGqmIi50EQntz3+WT7tVBodT37KIfwlvMSjoe2eRrumUoYHXxbSTL9kpXv7TeeFR9RKmkB1//e3pGA==" saltValue="5VLqvbrEONzePvqRbv7ncQ==" spinCount="100000" sheet="1" selectLockedCells="1" selectUnlockedCells="1"/>
  <mergeCells count="2">
    <mergeCell ref="K4:V4"/>
    <mergeCell ref="F4:H4"/>
  </mergeCells>
  <phoneticPr fontId="13" type="noConversion"/>
  <conditionalFormatting sqref="X34:X38 X40:X41 X67:X74 X76:X79 X84:X87 X96:X97 X119:X121 X127:X128 X136:X137 X145:X146 X154:X155 X161:X162 X167:X168 X174:X175 X180:X181 X186:X187 X194:X197 X203 X213:X215 X234:X236 X240:X251 X271:X272 X262:X263 X280:X282 X300:X302 X310:X311 X319:X1048576 X47:X48 X52:X53 X55:X59 X61:X62 X112:X117 X217:X226 X9:X14 X199:X200 X253:X260 X1:X7 X64:X65 X16:X21 X24:X28 X30:X32 X43:X45 X99:X103 X130:X134 X205:X209 X290:X292 X295">
    <cfRule type="cellIs" dxfId="171" priority="223" operator="equal">
      <formula>"Error"</formula>
    </cfRule>
    <cfRule type="cellIs" dxfId="170" priority="224" operator="equal">
      <formula>"OK"</formula>
    </cfRule>
  </conditionalFormatting>
  <conditionalFormatting sqref="X33">
    <cfRule type="cellIs" dxfId="169" priority="221" operator="equal">
      <formula>"Error"</formula>
    </cfRule>
    <cfRule type="cellIs" dxfId="168" priority="222" operator="equal">
      <formula>"OK"</formula>
    </cfRule>
  </conditionalFormatting>
  <conditionalFormatting sqref="X39">
    <cfRule type="cellIs" dxfId="167" priority="219" operator="equal">
      <formula>"Error"</formula>
    </cfRule>
    <cfRule type="cellIs" dxfId="166" priority="220" operator="equal">
      <formula>"OK"</formula>
    </cfRule>
  </conditionalFormatting>
  <conditionalFormatting sqref="X46">
    <cfRule type="cellIs" dxfId="165" priority="217" operator="equal">
      <formula>"Error"</formula>
    </cfRule>
    <cfRule type="cellIs" dxfId="164" priority="218" operator="equal">
      <formula>"OK"</formula>
    </cfRule>
  </conditionalFormatting>
  <conditionalFormatting sqref="X54">
    <cfRule type="cellIs" dxfId="163" priority="215" operator="equal">
      <formula>"Error"</formula>
    </cfRule>
    <cfRule type="cellIs" dxfId="162" priority="216" operator="equal">
      <formula>"OK"</formula>
    </cfRule>
  </conditionalFormatting>
  <conditionalFormatting sqref="X60">
    <cfRule type="cellIs" dxfId="161" priority="213" operator="equal">
      <formula>"Error"</formula>
    </cfRule>
    <cfRule type="cellIs" dxfId="160" priority="214" operator="equal">
      <formula>"OK"</formula>
    </cfRule>
  </conditionalFormatting>
  <conditionalFormatting sqref="X66">
    <cfRule type="cellIs" dxfId="159" priority="211" operator="equal">
      <formula>"Error"</formula>
    </cfRule>
    <cfRule type="cellIs" dxfId="158" priority="212" operator="equal">
      <formula>"OK"</formula>
    </cfRule>
  </conditionalFormatting>
  <conditionalFormatting sqref="X75">
    <cfRule type="cellIs" dxfId="157" priority="209" operator="equal">
      <formula>"Error"</formula>
    </cfRule>
    <cfRule type="cellIs" dxfId="156" priority="210" operator="equal">
      <formula>"OK"</formula>
    </cfRule>
  </conditionalFormatting>
  <conditionalFormatting sqref="X80:X82">
    <cfRule type="cellIs" dxfId="155" priority="205" operator="equal">
      <formula>"Error"</formula>
    </cfRule>
    <cfRule type="cellIs" dxfId="154" priority="206" operator="equal">
      <formula>"OK"</formula>
    </cfRule>
  </conditionalFormatting>
  <conditionalFormatting sqref="X83">
    <cfRule type="cellIs" dxfId="153" priority="203" operator="equal">
      <formula>"Error"</formula>
    </cfRule>
    <cfRule type="cellIs" dxfId="152" priority="204" operator="equal">
      <formula>"OK"</formula>
    </cfRule>
  </conditionalFormatting>
  <conditionalFormatting sqref="X92:X94">
    <cfRule type="cellIs" dxfId="151" priority="201" operator="equal">
      <formula>"Error"</formula>
    </cfRule>
    <cfRule type="cellIs" dxfId="150" priority="202" operator="equal">
      <formula>"OK"</formula>
    </cfRule>
  </conditionalFormatting>
  <conditionalFormatting sqref="X95">
    <cfRule type="cellIs" dxfId="149" priority="199" operator="equal">
      <formula>"Error"</formula>
    </cfRule>
    <cfRule type="cellIs" dxfId="148" priority="200" operator="equal">
      <formula>"OK"</formula>
    </cfRule>
  </conditionalFormatting>
  <conditionalFormatting sqref="X98">
    <cfRule type="cellIs" dxfId="147" priority="197" operator="equal">
      <formula>"Error"</formula>
    </cfRule>
    <cfRule type="cellIs" dxfId="146" priority="198" operator="equal">
      <formula>"OK"</formula>
    </cfRule>
  </conditionalFormatting>
  <conditionalFormatting sqref="X108:X110">
    <cfRule type="cellIs" dxfId="145" priority="195" operator="equal">
      <formula>"Error"</formula>
    </cfRule>
    <cfRule type="cellIs" dxfId="144" priority="196" operator="equal">
      <formula>"OK"</formula>
    </cfRule>
  </conditionalFormatting>
  <conditionalFormatting sqref="X111">
    <cfRule type="cellIs" dxfId="143" priority="193" operator="equal">
      <formula>"Error"</formula>
    </cfRule>
    <cfRule type="cellIs" dxfId="142" priority="194" operator="equal">
      <formula>"OK"</formula>
    </cfRule>
  </conditionalFormatting>
  <conditionalFormatting sqref="X118">
    <cfRule type="cellIs" dxfId="141" priority="191" operator="equal">
      <formula>"Error"</formula>
    </cfRule>
    <cfRule type="cellIs" dxfId="140" priority="192" operator="equal">
      <formula>"OK"</formula>
    </cfRule>
  </conditionalFormatting>
  <conditionalFormatting sqref="X122">
    <cfRule type="cellIs" dxfId="139" priority="189" operator="equal">
      <formula>"Error"</formula>
    </cfRule>
    <cfRule type="cellIs" dxfId="138" priority="190" operator="equal">
      <formula>"OK"</formula>
    </cfRule>
  </conditionalFormatting>
  <conditionalFormatting sqref="X123:X125">
    <cfRule type="cellIs" dxfId="137" priority="187" operator="equal">
      <formula>"Error"</formula>
    </cfRule>
    <cfRule type="cellIs" dxfId="136" priority="188" operator="equal">
      <formula>"OK"</formula>
    </cfRule>
  </conditionalFormatting>
  <conditionalFormatting sqref="X126">
    <cfRule type="cellIs" dxfId="135" priority="185" operator="equal">
      <formula>"Error"</formula>
    </cfRule>
    <cfRule type="cellIs" dxfId="134" priority="186" operator="equal">
      <formula>"OK"</formula>
    </cfRule>
  </conditionalFormatting>
  <conditionalFormatting sqref="X135">
    <cfRule type="cellIs" dxfId="133" priority="183" operator="equal">
      <formula>"Error"</formula>
    </cfRule>
    <cfRule type="cellIs" dxfId="132" priority="184" operator="equal">
      <formula>"OK"</formula>
    </cfRule>
  </conditionalFormatting>
  <conditionalFormatting sqref="X139:X143">
    <cfRule type="cellIs" dxfId="131" priority="181" operator="equal">
      <formula>"Error"</formula>
    </cfRule>
    <cfRule type="cellIs" dxfId="130" priority="182" operator="equal">
      <formula>"OK"</formula>
    </cfRule>
  </conditionalFormatting>
  <conditionalFormatting sqref="X144">
    <cfRule type="cellIs" dxfId="129" priority="179" operator="equal">
      <formula>"Error"</formula>
    </cfRule>
    <cfRule type="cellIs" dxfId="128" priority="180" operator="equal">
      <formula>"OK"</formula>
    </cfRule>
  </conditionalFormatting>
  <conditionalFormatting sqref="X147:X152">
    <cfRule type="cellIs" dxfId="127" priority="177" operator="equal">
      <formula>"Error"</formula>
    </cfRule>
    <cfRule type="cellIs" dxfId="126" priority="178" operator="equal">
      <formula>"OK"</formula>
    </cfRule>
  </conditionalFormatting>
  <conditionalFormatting sqref="X153">
    <cfRule type="cellIs" dxfId="125" priority="175" operator="equal">
      <formula>"Error"</formula>
    </cfRule>
    <cfRule type="cellIs" dxfId="124" priority="176" operator="equal">
      <formula>"OK"</formula>
    </cfRule>
  </conditionalFormatting>
  <conditionalFormatting sqref="X157:X159">
    <cfRule type="cellIs" dxfId="123" priority="171" operator="equal">
      <formula>"Error"</formula>
    </cfRule>
    <cfRule type="cellIs" dxfId="122" priority="172" operator="equal">
      <formula>"OK"</formula>
    </cfRule>
  </conditionalFormatting>
  <conditionalFormatting sqref="X160">
    <cfRule type="cellIs" dxfId="121" priority="169" operator="equal">
      <formula>"Error"</formula>
    </cfRule>
    <cfRule type="cellIs" dxfId="120" priority="170" operator="equal">
      <formula>"OK"</formula>
    </cfRule>
  </conditionalFormatting>
  <conditionalFormatting sqref="X156">
    <cfRule type="cellIs" dxfId="119" priority="167" operator="equal">
      <formula>"Error"</formula>
    </cfRule>
    <cfRule type="cellIs" dxfId="118" priority="168" operator="equal">
      <formula>"OK"</formula>
    </cfRule>
  </conditionalFormatting>
  <conditionalFormatting sqref="X163:X165">
    <cfRule type="cellIs" dxfId="117" priority="165" operator="equal">
      <formula>"Error"</formula>
    </cfRule>
    <cfRule type="cellIs" dxfId="116" priority="166" operator="equal">
      <formula>"OK"</formula>
    </cfRule>
  </conditionalFormatting>
  <conditionalFormatting sqref="X166">
    <cfRule type="cellIs" dxfId="115" priority="163" operator="equal">
      <formula>"Error"</formula>
    </cfRule>
    <cfRule type="cellIs" dxfId="114" priority="164" operator="equal">
      <formula>"OK"</formula>
    </cfRule>
  </conditionalFormatting>
  <conditionalFormatting sqref="X170:X172">
    <cfRule type="cellIs" dxfId="113" priority="161" operator="equal">
      <formula>"Error"</formula>
    </cfRule>
    <cfRule type="cellIs" dxfId="112" priority="162" operator="equal">
      <formula>"OK"</formula>
    </cfRule>
  </conditionalFormatting>
  <conditionalFormatting sqref="X173">
    <cfRule type="cellIs" dxfId="111" priority="159" operator="equal">
      <formula>"Error"</formula>
    </cfRule>
    <cfRule type="cellIs" dxfId="110" priority="160" operator="equal">
      <formula>"OK"</formula>
    </cfRule>
  </conditionalFormatting>
  <conditionalFormatting sqref="X176:X178">
    <cfRule type="cellIs" dxfId="109" priority="157" operator="equal">
      <formula>"Error"</formula>
    </cfRule>
    <cfRule type="cellIs" dxfId="108" priority="158" operator="equal">
      <formula>"OK"</formula>
    </cfRule>
  </conditionalFormatting>
  <conditionalFormatting sqref="X179">
    <cfRule type="cellIs" dxfId="107" priority="155" operator="equal">
      <formula>"Error"</formula>
    </cfRule>
    <cfRule type="cellIs" dxfId="106" priority="156" operator="equal">
      <formula>"OK"</formula>
    </cfRule>
  </conditionalFormatting>
  <conditionalFormatting sqref="X182:X184">
    <cfRule type="cellIs" dxfId="105" priority="149" operator="equal">
      <formula>"Error"</formula>
    </cfRule>
    <cfRule type="cellIs" dxfId="104" priority="150" operator="equal">
      <formula>"OK"</formula>
    </cfRule>
  </conditionalFormatting>
  <conditionalFormatting sqref="X185">
    <cfRule type="cellIs" dxfId="103" priority="147" operator="equal">
      <formula>"Error"</formula>
    </cfRule>
    <cfRule type="cellIs" dxfId="102" priority="148" operator="equal">
      <formula>"OK"</formula>
    </cfRule>
  </conditionalFormatting>
  <conditionalFormatting sqref="X210:X211">
    <cfRule type="cellIs" dxfId="101" priority="137" operator="equal">
      <formula>"Error"</formula>
    </cfRule>
    <cfRule type="cellIs" dxfId="100" priority="138" operator="equal">
      <formula>"OK"</formula>
    </cfRule>
  </conditionalFormatting>
  <conditionalFormatting sqref="X190:X192">
    <cfRule type="cellIs" dxfId="99" priority="143" operator="equal">
      <formula>"Error"</formula>
    </cfRule>
    <cfRule type="cellIs" dxfId="98" priority="144" operator="equal">
      <formula>"OK"</formula>
    </cfRule>
  </conditionalFormatting>
  <conditionalFormatting sqref="X193">
    <cfRule type="cellIs" dxfId="97" priority="141" operator="equal">
      <formula>"Error"</formula>
    </cfRule>
    <cfRule type="cellIs" dxfId="96" priority="142" operator="equal">
      <formula>"OK"</formula>
    </cfRule>
  </conditionalFormatting>
  <conditionalFormatting sqref="X212">
    <cfRule type="cellIs" dxfId="95" priority="135" operator="equal">
      <formula>"Error"</formula>
    </cfRule>
    <cfRule type="cellIs" dxfId="94" priority="136" operator="equal">
      <formula>"OK"</formula>
    </cfRule>
  </conditionalFormatting>
  <conditionalFormatting sqref="X216">
    <cfRule type="cellIs" dxfId="93" priority="133" operator="equal">
      <formula>"Error"</formula>
    </cfRule>
    <cfRule type="cellIs" dxfId="92" priority="134" operator="equal">
      <formula>"OK"</formula>
    </cfRule>
  </conditionalFormatting>
  <conditionalFormatting sqref="X227:X232">
    <cfRule type="cellIs" dxfId="91" priority="131" operator="equal">
      <formula>"Error"</formula>
    </cfRule>
    <cfRule type="cellIs" dxfId="90" priority="132" operator="equal">
      <formula>"OK"</formula>
    </cfRule>
  </conditionalFormatting>
  <conditionalFormatting sqref="X233">
    <cfRule type="cellIs" dxfId="89" priority="129" operator="equal">
      <formula>"Error"</formula>
    </cfRule>
    <cfRule type="cellIs" dxfId="88" priority="130" operator="equal">
      <formula>"OK"</formula>
    </cfRule>
  </conditionalFormatting>
  <conditionalFormatting sqref="X237:X238">
    <cfRule type="cellIs" dxfId="87" priority="127" operator="equal">
      <formula>"Error"</formula>
    </cfRule>
    <cfRule type="cellIs" dxfId="86" priority="128" operator="equal">
      <formula>"OK"</formula>
    </cfRule>
  </conditionalFormatting>
  <conditionalFormatting sqref="X239">
    <cfRule type="cellIs" dxfId="85" priority="125" operator="equal">
      <formula>"Error"</formula>
    </cfRule>
    <cfRule type="cellIs" dxfId="84" priority="126" operator="equal">
      <formula>"OK"</formula>
    </cfRule>
  </conditionalFormatting>
  <conditionalFormatting sqref="X265:X269">
    <cfRule type="cellIs" dxfId="83" priority="123" operator="equal">
      <formula>"Error"</formula>
    </cfRule>
    <cfRule type="cellIs" dxfId="82" priority="124" operator="equal">
      <formula>"OK"</formula>
    </cfRule>
  </conditionalFormatting>
  <conditionalFormatting sqref="X270">
    <cfRule type="cellIs" dxfId="81" priority="121" operator="equal">
      <formula>"Error"</formula>
    </cfRule>
    <cfRule type="cellIs" dxfId="80" priority="122" operator="equal">
      <formula>"OK"</formula>
    </cfRule>
  </conditionalFormatting>
  <conditionalFormatting sqref="X261">
    <cfRule type="cellIs" dxfId="79" priority="119" operator="equal">
      <formula>"Error"</formula>
    </cfRule>
    <cfRule type="cellIs" dxfId="78" priority="120" operator="equal">
      <formula>"OK"</formula>
    </cfRule>
  </conditionalFormatting>
  <conditionalFormatting sqref="X274:X278">
    <cfRule type="cellIs" dxfId="77" priority="117" operator="equal">
      <formula>"Error"</formula>
    </cfRule>
    <cfRule type="cellIs" dxfId="76" priority="118" operator="equal">
      <formula>"OK"</formula>
    </cfRule>
  </conditionalFormatting>
  <conditionalFormatting sqref="X279">
    <cfRule type="cellIs" dxfId="75" priority="115" operator="equal">
      <formula>"Error"</formula>
    </cfRule>
    <cfRule type="cellIs" dxfId="74" priority="116" operator="equal">
      <formula>"OK"</formula>
    </cfRule>
  </conditionalFormatting>
  <conditionalFormatting sqref="X283:X288">
    <cfRule type="cellIs" dxfId="73" priority="113" operator="equal">
      <formula>"Error"</formula>
    </cfRule>
    <cfRule type="cellIs" dxfId="72" priority="114" operator="equal">
      <formula>"OK"</formula>
    </cfRule>
  </conditionalFormatting>
  <conditionalFormatting sqref="X289">
    <cfRule type="cellIs" dxfId="71" priority="111" operator="equal">
      <formula>"Error"</formula>
    </cfRule>
    <cfRule type="cellIs" dxfId="70" priority="112" operator="equal">
      <formula>"OK"</formula>
    </cfRule>
  </conditionalFormatting>
  <conditionalFormatting sqref="X296:X298">
    <cfRule type="cellIs" dxfId="69" priority="107" operator="equal">
      <formula>"Error"</formula>
    </cfRule>
    <cfRule type="cellIs" dxfId="68" priority="108" operator="equal">
      <formula>"OK"</formula>
    </cfRule>
  </conditionalFormatting>
  <conditionalFormatting sqref="X299">
    <cfRule type="cellIs" dxfId="67" priority="105" operator="equal">
      <formula>"Error"</formula>
    </cfRule>
    <cfRule type="cellIs" dxfId="66" priority="106" operator="equal">
      <formula>"OK"</formula>
    </cfRule>
  </conditionalFormatting>
  <conditionalFormatting sqref="X303:X308">
    <cfRule type="cellIs" dxfId="65" priority="103" operator="equal">
      <formula>"Error"</formula>
    </cfRule>
    <cfRule type="cellIs" dxfId="64" priority="104" operator="equal">
      <formula>"OK"</formula>
    </cfRule>
  </conditionalFormatting>
  <conditionalFormatting sqref="X309">
    <cfRule type="cellIs" dxfId="63" priority="101" operator="equal">
      <formula>"Error"</formula>
    </cfRule>
    <cfRule type="cellIs" dxfId="62" priority="102" operator="equal">
      <formula>"OK"</formula>
    </cfRule>
  </conditionalFormatting>
  <conditionalFormatting sqref="X312:X317">
    <cfRule type="cellIs" dxfId="61" priority="99" operator="equal">
      <formula>"Error"</formula>
    </cfRule>
    <cfRule type="cellIs" dxfId="60" priority="100" operator="equal">
      <formula>"OK"</formula>
    </cfRule>
  </conditionalFormatting>
  <conditionalFormatting sqref="X318">
    <cfRule type="cellIs" dxfId="59" priority="97" operator="equal">
      <formula>"Error"</formula>
    </cfRule>
    <cfRule type="cellIs" dxfId="58" priority="98" operator="equal">
      <formula>"OK"</formula>
    </cfRule>
  </conditionalFormatting>
  <conditionalFormatting sqref="X50">
    <cfRule type="cellIs" dxfId="57" priority="93" operator="equal">
      <formula>"Error"</formula>
    </cfRule>
    <cfRule type="cellIs" dxfId="56" priority="94" operator="equal">
      <formula>"OK"</formula>
    </cfRule>
  </conditionalFormatting>
  <conditionalFormatting sqref="X88">
    <cfRule type="cellIs" dxfId="55" priority="91" operator="equal">
      <formula>"Error"</formula>
    </cfRule>
    <cfRule type="cellIs" dxfId="54" priority="92" operator="equal">
      <formula>"OK"</formula>
    </cfRule>
  </conditionalFormatting>
  <conditionalFormatting sqref="X273">
    <cfRule type="cellIs" dxfId="53" priority="77" operator="equal">
      <formula>"Error"</formula>
    </cfRule>
    <cfRule type="cellIs" dxfId="52" priority="78" operator="equal">
      <formula>"OK"</formula>
    </cfRule>
  </conditionalFormatting>
  <conditionalFormatting sqref="X169">
    <cfRule type="cellIs" dxfId="51" priority="85" operator="equal">
      <formula>"Error"</formula>
    </cfRule>
    <cfRule type="cellIs" dxfId="50" priority="86" operator="equal">
      <formula>"OK"</formula>
    </cfRule>
  </conditionalFormatting>
  <conditionalFormatting sqref="X198">
    <cfRule type="cellIs" dxfId="49" priority="73" operator="equal">
      <formula>"Error"</formula>
    </cfRule>
    <cfRule type="cellIs" dxfId="48" priority="74" operator="equal">
      <formula>"OK"</formula>
    </cfRule>
  </conditionalFormatting>
  <conditionalFormatting sqref="X252">
    <cfRule type="cellIs" dxfId="47" priority="61" operator="equal">
      <formula>"Error"</formula>
    </cfRule>
    <cfRule type="cellIs" dxfId="46" priority="62" operator="equal">
      <formula>"OK"</formula>
    </cfRule>
  </conditionalFormatting>
  <conditionalFormatting sqref="X23">
    <cfRule type="cellIs" dxfId="45" priority="37" operator="equal">
      <formula>"Error"</formula>
    </cfRule>
    <cfRule type="cellIs" dxfId="44" priority="38" operator="equal">
      <formula>"OK"</formula>
    </cfRule>
  </conditionalFormatting>
  <conditionalFormatting sqref="X8">
    <cfRule type="cellIs" dxfId="43" priority="51" operator="equal">
      <formula>"Error"</formula>
    </cfRule>
    <cfRule type="cellIs" dxfId="42" priority="52" operator="equal">
      <formula>"OK"</formula>
    </cfRule>
  </conditionalFormatting>
  <conditionalFormatting sqref="X63">
    <cfRule type="cellIs" dxfId="41" priority="47" operator="equal">
      <formula>"Error"</formula>
    </cfRule>
    <cfRule type="cellIs" dxfId="40" priority="48" operator="equal">
      <formula>"OK"</formula>
    </cfRule>
  </conditionalFormatting>
  <conditionalFormatting sqref="X42">
    <cfRule type="cellIs" dxfId="39" priority="33" operator="equal">
      <formula>"Error"</formula>
    </cfRule>
    <cfRule type="cellIs" dxfId="38" priority="34" operator="equal">
      <formula>"OK"</formula>
    </cfRule>
  </conditionalFormatting>
  <conditionalFormatting sqref="X15">
    <cfRule type="cellIs" dxfId="37" priority="43" operator="equal">
      <formula>"Error"</formula>
    </cfRule>
    <cfRule type="cellIs" dxfId="36" priority="44" operator="equal">
      <formula>"OK"</formula>
    </cfRule>
  </conditionalFormatting>
  <conditionalFormatting sqref="X22">
    <cfRule type="cellIs" dxfId="35" priority="41" operator="equal">
      <formula>"Error"</formula>
    </cfRule>
    <cfRule type="cellIs" dxfId="34" priority="42" operator="equal">
      <formula>"OK"</formula>
    </cfRule>
  </conditionalFormatting>
  <conditionalFormatting sqref="X49">
    <cfRule type="cellIs" dxfId="33" priority="29" operator="equal">
      <formula>"Error"</formula>
    </cfRule>
    <cfRule type="cellIs" dxfId="32" priority="30" operator="equal">
      <formula>"OK"</formula>
    </cfRule>
  </conditionalFormatting>
  <conditionalFormatting sqref="X29">
    <cfRule type="cellIs" dxfId="31" priority="35" operator="equal">
      <formula>"Error"</formula>
    </cfRule>
    <cfRule type="cellIs" dxfId="30" priority="36" operator="equal">
      <formula>"OK"</formula>
    </cfRule>
  </conditionalFormatting>
  <conditionalFormatting sqref="X51">
    <cfRule type="cellIs" dxfId="29" priority="31" operator="equal">
      <formula>"Error"</formula>
    </cfRule>
    <cfRule type="cellIs" dxfId="28" priority="32" operator="equal">
      <formula>"OK"</formula>
    </cfRule>
  </conditionalFormatting>
  <conditionalFormatting sqref="X89">
    <cfRule type="cellIs" dxfId="27" priority="27" operator="equal">
      <formula>"Error"</formula>
    </cfRule>
    <cfRule type="cellIs" dxfId="26" priority="28" operator="equal">
      <formula>"OK"</formula>
    </cfRule>
  </conditionalFormatting>
  <conditionalFormatting sqref="X90">
    <cfRule type="cellIs" dxfId="25" priority="25" operator="equal">
      <formula>"Error"</formula>
    </cfRule>
    <cfRule type="cellIs" dxfId="24" priority="26" operator="equal">
      <formula>"OK"</formula>
    </cfRule>
  </conditionalFormatting>
  <conditionalFormatting sqref="X91">
    <cfRule type="cellIs" dxfId="23" priority="23" operator="equal">
      <formula>"Error"</formula>
    </cfRule>
    <cfRule type="cellIs" dxfId="22" priority="24" operator="equal">
      <formula>"OK"</formula>
    </cfRule>
  </conditionalFormatting>
  <conditionalFormatting sqref="X107">
    <cfRule type="cellIs" dxfId="21" priority="21" operator="equal">
      <formula>"Error"</formula>
    </cfRule>
    <cfRule type="cellIs" dxfId="20" priority="22" operator="equal">
      <formula>"OK"</formula>
    </cfRule>
  </conditionalFormatting>
  <conditionalFormatting sqref="X104:X105">
    <cfRule type="cellIs" dxfId="19" priority="19" operator="equal">
      <formula>"Error"</formula>
    </cfRule>
    <cfRule type="cellIs" dxfId="18" priority="20" operator="equal">
      <formula>"OK"</formula>
    </cfRule>
  </conditionalFormatting>
  <conditionalFormatting sqref="X129">
    <cfRule type="cellIs" dxfId="17" priority="17" operator="equal">
      <formula>"Error"</formula>
    </cfRule>
    <cfRule type="cellIs" dxfId="16" priority="18" operator="equal">
      <formula>"OK"</formula>
    </cfRule>
  </conditionalFormatting>
  <conditionalFormatting sqref="X138">
    <cfRule type="cellIs" dxfId="15" priority="15" operator="equal">
      <formula>"Error"</formula>
    </cfRule>
    <cfRule type="cellIs" dxfId="14" priority="16" operator="equal">
      <formula>"OK"</formula>
    </cfRule>
  </conditionalFormatting>
  <conditionalFormatting sqref="X188:X189">
    <cfRule type="cellIs" dxfId="13" priority="13" operator="equal">
      <formula>"Error"</formula>
    </cfRule>
    <cfRule type="cellIs" dxfId="12" priority="14" operator="equal">
      <formula>"OK"</formula>
    </cfRule>
  </conditionalFormatting>
  <conditionalFormatting sqref="X201">
    <cfRule type="cellIs" dxfId="11" priority="11" operator="equal">
      <formula>"Error"</formula>
    </cfRule>
    <cfRule type="cellIs" dxfId="10" priority="12" operator="equal">
      <formula>"OK"</formula>
    </cfRule>
  </conditionalFormatting>
  <conditionalFormatting sqref="X202">
    <cfRule type="cellIs" dxfId="9" priority="9" operator="equal">
      <formula>"Error"</formula>
    </cfRule>
    <cfRule type="cellIs" dxfId="8" priority="10" operator="equal">
      <formula>"OK"</formula>
    </cfRule>
  </conditionalFormatting>
  <conditionalFormatting sqref="X204">
    <cfRule type="cellIs" dxfId="7" priority="7" operator="equal">
      <formula>"Error"</formula>
    </cfRule>
    <cfRule type="cellIs" dxfId="6" priority="8" operator="equal">
      <formula>"OK"</formula>
    </cfRule>
  </conditionalFormatting>
  <conditionalFormatting sqref="X264">
    <cfRule type="cellIs" dxfId="5" priority="5" operator="equal">
      <formula>"Error"</formula>
    </cfRule>
    <cfRule type="cellIs" dxfId="4" priority="6" operator="equal">
      <formula>"OK"</formula>
    </cfRule>
  </conditionalFormatting>
  <conditionalFormatting sqref="X293:X294">
    <cfRule type="cellIs" dxfId="3" priority="3" operator="equal">
      <formula>"Error"</formula>
    </cfRule>
    <cfRule type="cellIs" dxfId="2" priority="4" operator="equal">
      <formula>"OK"</formula>
    </cfRule>
  </conditionalFormatting>
  <conditionalFormatting sqref="X106">
    <cfRule type="cellIs" dxfId="1" priority="1" operator="equal">
      <formula>"Error"</formula>
    </cfRule>
    <cfRule type="cellIs" dxfId="0" priority="2" operator="equal">
      <formula>"OK"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8168889431442"/>
  </sheetPr>
  <dimension ref="A1:F4"/>
  <sheetViews>
    <sheetView workbookViewId="0"/>
  </sheetViews>
  <sheetFormatPr defaultRowHeight="15" x14ac:dyDescent="0.25"/>
  <cols>
    <col min="1" max="1" width="14.140625" style="351" customWidth="1"/>
    <col min="2" max="2" width="9.140625" style="351"/>
    <col min="3" max="3" width="10.85546875" style="351" bestFit="1" customWidth="1"/>
    <col min="4" max="4" width="18.85546875" style="349" bestFit="1" customWidth="1"/>
    <col min="5" max="5" width="21.85546875" style="349" bestFit="1" customWidth="1"/>
    <col min="6" max="6" width="104.28515625" style="351" customWidth="1"/>
  </cols>
  <sheetData>
    <row r="1" spans="1:6" x14ac:dyDescent="0.25">
      <c r="A1" s="351" t="s">
        <v>347</v>
      </c>
    </row>
    <row r="3" spans="1:6" s="348" customFormat="1" x14ac:dyDescent="0.25">
      <c r="A3" s="352" t="s">
        <v>349</v>
      </c>
      <c r="B3" s="352" t="s">
        <v>348</v>
      </c>
      <c r="C3" s="352" t="s">
        <v>350</v>
      </c>
      <c r="D3" s="350" t="s">
        <v>351</v>
      </c>
      <c r="E3" s="350" t="s">
        <v>352</v>
      </c>
      <c r="F3" s="352" t="s">
        <v>353</v>
      </c>
    </row>
    <row r="4" spans="1:6" x14ac:dyDescent="0.25">
      <c r="A4" s="351" t="s">
        <v>534</v>
      </c>
      <c r="B4" s="351" t="s">
        <v>535</v>
      </c>
      <c r="C4" s="351" t="s">
        <v>536</v>
      </c>
      <c r="D4" s="349" t="s">
        <v>537</v>
      </c>
      <c r="E4" s="349" t="s">
        <v>537</v>
      </c>
      <c r="F4" s="351" t="s">
        <v>545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B12"/>
  <sheetViews>
    <sheetView workbookViewId="0">
      <selection activeCell="B11" sqref="B11"/>
    </sheetView>
  </sheetViews>
  <sheetFormatPr defaultRowHeight="15" x14ac:dyDescent="0.25"/>
  <cols>
    <col min="2" max="2" width="38.42578125" bestFit="1" customWidth="1"/>
  </cols>
  <sheetData>
    <row r="1" spans="1:2" ht="26.25" x14ac:dyDescent="0.4">
      <c r="A1" s="375" t="s">
        <v>392</v>
      </c>
    </row>
    <row r="2" spans="1:2" x14ac:dyDescent="0.25">
      <c r="A2" s="352" t="s">
        <v>370</v>
      </c>
      <c r="B2" s="348" t="s">
        <v>371</v>
      </c>
    </row>
    <row r="3" spans="1:2" x14ac:dyDescent="0.25">
      <c r="A3" s="351" t="s">
        <v>372</v>
      </c>
      <c r="B3" t="s">
        <v>373</v>
      </c>
    </row>
    <row r="4" spans="1:2" x14ac:dyDescent="0.25">
      <c r="A4" s="351" t="s">
        <v>374</v>
      </c>
      <c r="B4" t="s">
        <v>375</v>
      </c>
    </row>
    <row r="5" spans="1:2" x14ac:dyDescent="0.25">
      <c r="A5" s="351" t="s">
        <v>376</v>
      </c>
      <c r="B5" t="s">
        <v>377</v>
      </c>
    </row>
    <row r="6" spans="1:2" x14ac:dyDescent="0.25">
      <c r="A6" s="351" t="s">
        <v>378</v>
      </c>
      <c r="B6" t="s">
        <v>379</v>
      </c>
    </row>
    <row r="7" spans="1:2" x14ac:dyDescent="0.25">
      <c r="A7" s="351" t="s">
        <v>380</v>
      </c>
      <c r="B7" t="s">
        <v>381</v>
      </c>
    </row>
    <row r="8" spans="1:2" x14ac:dyDescent="0.25">
      <c r="A8" s="351" t="s">
        <v>382</v>
      </c>
      <c r="B8" t="s">
        <v>383</v>
      </c>
    </row>
    <row r="9" spans="1:2" x14ac:dyDescent="0.25">
      <c r="A9" s="351" t="s">
        <v>384</v>
      </c>
      <c r="B9" t="s">
        <v>385</v>
      </c>
    </row>
    <row r="10" spans="1:2" x14ac:dyDescent="0.25">
      <c r="A10" s="351" t="s">
        <v>386</v>
      </c>
      <c r="B10" t="s">
        <v>387</v>
      </c>
    </row>
    <row r="11" spans="1:2" x14ac:dyDescent="0.25">
      <c r="A11" s="351" t="s">
        <v>388</v>
      </c>
      <c r="B11" t="s">
        <v>389</v>
      </c>
    </row>
    <row r="12" spans="1:2" x14ac:dyDescent="0.25">
      <c r="A12" s="351" t="s">
        <v>390</v>
      </c>
      <c r="B12" t="s">
        <v>391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0.34998626667073579"/>
  </sheetPr>
  <dimension ref="A1:U277"/>
  <sheetViews>
    <sheetView workbookViewId="0"/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16" width="13.42578125" style="14" customWidth="1"/>
    <col min="17" max="17" width="13.42578125" style="22" customWidth="1"/>
    <col min="18" max="18" width="2.140625" style="28" customWidth="1"/>
    <col min="19" max="19" width="13.42578125" style="23" customWidth="1"/>
    <col min="20" max="20" width="2.140625" style="28" customWidth="1"/>
    <col min="21" max="16384" width="8.85546875" style="14"/>
  </cols>
  <sheetData>
    <row r="1" spans="1:21" s="1" customFormat="1" ht="21" x14ac:dyDescent="0.35">
      <c r="A1" s="11" t="str">
        <f>'Rev &amp; Enroll'!$F$5</f>
        <v>Nevada State High School (Henderson)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4"/>
    </row>
    <row r="2" spans="1:21" s="1" customFormat="1" x14ac:dyDescent="0.25">
      <c r="A2" s="12" t="s">
        <v>106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</row>
    <row r="3" spans="1:21" s="6" customFormat="1" ht="13.5" customHeight="1" x14ac:dyDescent="0.2">
      <c r="A3" s="5" t="s">
        <v>525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0"/>
    </row>
    <row r="4" spans="1:21" s="9" customFormat="1" ht="29.45" customHeight="1" x14ac:dyDescent="0.25">
      <c r="C4" s="19"/>
      <c r="D4" s="10"/>
      <c r="E4" s="33">
        <v>44013</v>
      </c>
      <c r="F4" s="33">
        <f t="shared" ref="F4:P4" si="0">E4+31</f>
        <v>44044</v>
      </c>
      <c r="G4" s="33">
        <f t="shared" si="0"/>
        <v>44075</v>
      </c>
      <c r="H4" s="33">
        <f t="shared" si="0"/>
        <v>44106</v>
      </c>
      <c r="I4" s="33">
        <f t="shared" si="0"/>
        <v>44137</v>
      </c>
      <c r="J4" s="33">
        <f t="shared" si="0"/>
        <v>44168</v>
      </c>
      <c r="K4" s="33">
        <f t="shared" si="0"/>
        <v>44199</v>
      </c>
      <c r="L4" s="33">
        <f t="shared" si="0"/>
        <v>44230</v>
      </c>
      <c r="M4" s="33">
        <f t="shared" si="0"/>
        <v>44261</v>
      </c>
      <c r="N4" s="33">
        <f t="shared" si="0"/>
        <v>44292</v>
      </c>
      <c r="O4" s="33">
        <f t="shared" si="0"/>
        <v>44323</v>
      </c>
      <c r="P4" s="56">
        <f t="shared" si="0"/>
        <v>44354</v>
      </c>
      <c r="Q4" s="35" t="s">
        <v>54</v>
      </c>
      <c r="R4" s="26"/>
      <c r="S4" s="58" t="s">
        <v>55</v>
      </c>
      <c r="T4" s="26"/>
    </row>
    <row r="5" spans="1:21" s="9" customFormat="1" ht="12" hidden="1" x14ac:dyDescent="0.25">
      <c r="C5" s="19"/>
      <c r="D5" s="209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5"/>
      <c r="R5" s="26"/>
      <c r="S5" s="663"/>
      <c r="T5" s="26"/>
      <c r="U5" s="32"/>
    </row>
    <row r="6" spans="1:21" s="37" customFormat="1" ht="11.45" customHeight="1" x14ac:dyDescent="0.2">
      <c r="A6" s="45" t="s">
        <v>58</v>
      </c>
      <c r="C6" s="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1"/>
      <c r="S6" s="59"/>
      <c r="T6" s="41"/>
    </row>
    <row r="7" spans="1:21" s="37" customFormat="1" ht="12" x14ac:dyDescent="0.2">
      <c r="A7" s="45"/>
      <c r="C7" s="49" t="s">
        <v>171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1"/>
      <c r="S7" s="59"/>
      <c r="T7" s="41"/>
    </row>
    <row r="8" spans="1:21" s="37" customFormat="1" ht="12" x14ac:dyDescent="0.2">
      <c r="A8" s="45"/>
      <c r="C8" s="200">
        <v>1110</v>
      </c>
      <c r="D8" s="37" t="s">
        <v>0</v>
      </c>
      <c r="E8" s="189">
        <v>35081.199999999997</v>
      </c>
      <c r="F8" s="189">
        <v>35081.199999999997</v>
      </c>
      <c r="G8" s="189">
        <v>35081.199999999997</v>
      </c>
      <c r="H8" s="189">
        <v>35081.199999999997</v>
      </c>
      <c r="I8" s="189">
        <v>35081.199999999997</v>
      </c>
      <c r="J8" s="189">
        <v>35081.199999999997</v>
      </c>
      <c r="K8" s="189">
        <v>35081.199999999997</v>
      </c>
      <c r="L8" s="189">
        <v>35081.199999999997</v>
      </c>
      <c r="M8" s="189">
        <v>35081.199999999997</v>
      </c>
      <c r="N8" s="189">
        <v>35081.199999999997</v>
      </c>
      <c r="O8" s="189">
        <v>35081.199999999997</v>
      </c>
      <c r="P8" s="189">
        <v>35081.199999999997</v>
      </c>
      <c r="Q8" s="190"/>
      <c r="R8" s="187"/>
      <c r="S8" s="59">
        <f>SUM(E8:Q8)</f>
        <v>420974.40000000008</v>
      </c>
      <c r="T8" s="187"/>
    </row>
    <row r="9" spans="1:21" s="37" customFormat="1" ht="12" x14ac:dyDescent="0.2">
      <c r="A9" s="45"/>
      <c r="C9" s="200">
        <v>1120</v>
      </c>
      <c r="D9" s="37" t="s">
        <v>1</v>
      </c>
      <c r="E9" s="67">
        <v>38536.166666666664</v>
      </c>
      <c r="F9" s="67">
        <v>38536.166666666664</v>
      </c>
      <c r="G9" s="67">
        <v>38536.166666666664</v>
      </c>
      <c r="H9" s="67">
        <v>38536.166666666664</v>
      </c>
      <c r="I9" s="67">
        <v>38536.166666666664</v>
      </c>
      <c r="J9" s="67">
        <v>38536.166666666664</v>
      </c>
      <c r="K9" s="67">
        <v>38536.166666666664</v>
      </c>
      <c r="L9" s="67">
        <v>38536.166666666664</v>
      </c>
      <c r="M9" s="67">
        <v>38536.166666666664</v>
      </c>
      <c r="N9" s="67">
        <v>38536.166666666664</v>
      </c>
      <c r="O9" s="67">
        <v>38536.166666666664</v>
      </c>
      <c r="P9" s="67">
        <v>38536.166666666664</v>
      </c>
      <c r="Q9" s="68"/>
      <c r="R9" s="41"/>
      <c r="S9" s="59">
        <f t="shared" ref="S9:S12" si="1">SUM(E9:Q9)</f>
        <v>462434.00000000006</v>
      </c>
      <c r="T9" s="41"/>
    </row>
    <row r="10" spans="1:21" s="37" customFormat="1" ht="12" x14ac:dyDescent="0.2">
      <c r="A10" s="45"/>
      <c r="C10" s="200">
        <v>1191</v>
      </c>
      <c r="D10" s="37" t="s">
        <v>2</v>
      </c>
      <c r="E10" s="67">
        <v>132.88333333333333</v>
      </c>
      <c r="F10" s="67">
        <v>132.88333333333333</v>
      </c>
      <c r="G10" s="67">
        <v>132.88333333333333</v>
      </c>
      <c r="H10" s="67">
        <v>132.88333333333333</v>
      </c>
      <c r="I10" s="67">
        <v>132.88333333333333</v>
      </c>
      <c r="J10" s="67">
        <v>132.88333333333333</v>
      </c>
      <c r="K10" s="67">
        <v>132.88333333333333</v>
      </c>
      <c r="L10" s="67">
        <v>132.88333333333333</v>
      </c>
      <c r="M10" s="67">
        <v>132.88333333333333</v>
      </c>
      <c r="N10" s="67">
        <v>132.88333333333333</v>
      </c>
      <c r="O10" s="67">
        <v>132.88333333333333</v>
      </c>
      <c r="P10" s="67">
        <v>132.88333333333333</v>
      </c>
      <c r="Q10" s="68"/>
      <c r="R10" s="41"/>
      <c r="S10" s="59">
        <f t="shared" si="1"/>
        <v>1594.5999999999995</v>
      </c>
      <c r="T10" s="41"/>
    </row>
    <row r="11" spans="1:21" s="37" customFormat="1" ht="12" x14ac:dyDescent="0.2">
      <c r="A11" s="45"/>
      <c r="C11" s="200">
        <v>1192</v>
      </c>
      <c r="D11" s="37" t="s">
        <v>3</v>
      </c>
      <c r="E11" s="67">
        <v>4119.3833333333332</v>
      </c>
      <c r="F11" s="67">
        <v>4119.3833333333332</v>
      </c>
      <c r="G11" s="67">
        <v>4119.3833333333332</v>
      </c>
      <c r="H11" s="67">
        <v>4119.3833333333332</v>
      </c>
      <c r="I11" s="67">
        <v>4119.3833333333332</v>
      </c>
      <c r="J11" s="67">
        <v>4119.3833333333332</v>
      </c>
      <c r="K11" s="67">
        <v>4119.3833333333332</v>
      </c>
      <c r="L11" s="67">
        <v>4119.3833333333332</v>
      </c>
      <c r="M11" s="67">
        <v>4119.3833333333332</v>
      </c>
      <c r="N11" s="67">
        <v>4119.3833333333332</v>
      </c>
      <c r="O11" s="67">
        <v>4119.3833333333332</v>
      </c>
      <c r="P11" s="67">
        <v>4119.3833333333332</v>
      </c>
      <c r="Q11" s="68"/>
      <c r="R11" s="41"/>
      <c r="S11" s="59">
        <f t="shared" si="1"/>
        <v>49432.599999999984</v>
      </c>
      <c r="T11" s="41"/>
    </row>
    <row r="12" spans="1:21" s="37" customFormat="1" ht="12" x14ac:dyDescent="0.2">
      <c r="A12" s="45"/>
      <c r="C12" s="200">
        <v>3110</v>
      </c>
      <c r="D12" s="37" t="s">
        <v>73</v>
      </c>
      <c r="E12" s="67">
        <v>55013.69999999999</v>
      </c>
      <c r="F12" s="67">
        <v>55013.69999999999</v>
      </c>
      <c r="G12" s="67">
        <v>55013.69999999999</v>
      </c>
      <c r="H12" s="67">
        <v>55013.69999999999</v>
      </c>
      <c r="I12" s="67">
        <v>55013.69999999999</v>
      </c>
      <c r="J12" s="67">
        <v>55013.69999999999</v>
      </c>
      <c r="K12" s="67">
        <v>55013.69999999999</v>
      </c>
      <c r="L12" s="67">
        <v>55013.69999999999</v>
      </c>
      <c r="M12" s="67">
        <v>55013.69999999999</v>
      </c>
      <c r="N12" s="67">
        <v>55013.69999999999</v>
      </c>
      <c r="O12" s="67">
        <v>55013.69999999999</v>
      </c>
      <c r="P12" s="67">
        <v>55013.69999999999</v>
      </c>
      <c r="Q12" s="68"/>
      <c r="R12" s="41"/>
      <c r="S12" s="59">
        <f t="shared" si="1"/>
        <v>660164.39999999991</v>
      </c>
      <c r="T12" s="41"/>
    </row>
    <row r="13" spans="1:21" s="37" customFormat="1" ht="12" x14ac:dyDescent="0.2">
      <c r="A13" s="45"/>
      <c r="C13" s="38"/>
      <c r="E13" s="73">
        <f>SUBTOTAL(9,E8:E12)</f>
        <v>132883.33333333331</v>
      </c>
      <c r="F13" s="73">
        <f t="shared" ref="F13:Q13" si="2">SUBTOTAL(9,F8:F12)</f>
        <v>132883.33333333331</v>
      </c>
      <c r="G13" s="73">
        <f t="shared" si="2"/>
        <v>132883.33333333331</v>
      </c>
      <c r="H13" s="73">
        <f t="shared" si="2"/>
        <v>132883.33333333331</v>
      </c>
      <c r="I13" s="73">
        <f t="shared" si="2"/>
        <v>132883.33333333331</v>
      </c>
      <c r="J13" s="73">
        <f t="shared" si="2"/>
        <v>132883.33333333331</v>
      </c>
      <c r="K13" s="73">
        <f t="shared" si="2"/>
        <v>132883.33333333331</v>
      </c>
      <c r="L13" s="73">
        <f t="shared" si="2"/>
        <v>132883.33333333331</v>
      </c>
      <c r="M13" s="73">
        <f t="shared" si="2"/>
        <v>132883.33333333331</v>
      </c>
      <c r="N13" s="73">
        <f t="shared" si="2"/>
        <v>132883.33333333331</v>
      </c>
      <c r="O13" s="73">
        <f t="shared" si="2"/>
        <v>132883.33333333331</v>
      </c>
      <c r="P13" s="73">
        <f t="shared" si="2"/>
        <v>132883.33333333331</v>
      </c>
      <c r="Q13" s="73">
        <f t="shared" si="2"/>
        <v>0</v>
      </c>
      <c r="R13" s="41"/>
      <c r="S13" s="61">
        <f>SUBTOTAL(9,S8:S12)</f>
        <v>1594600</v>
      </c>
      <c r="T13" s="41"/>
    </row>
    <row r="14" spans="1:21" s="37" customFormat="1" ht="12" x14ac:dyDescent="0.2">
      <c r="A14" s="45"/>
      <c r="C14" s="49" t="s">
        <v>170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41"/>
      <c r="S14" s="59"/>
      <c r="T14" s="41"/>
    </row>
    <row r="15" spans="1:21" s="37" customFormat="1" ht="12" x14ac:dyDescent="0.2">
      <c r="A15" s="45"/>
      <c r="C15" s="200">
        <v>3115</v>
      </c>
      <c r="D15" s="37" t="s">
        <v>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8">
        <v>0</v>
      </c>
      <c r="R15" s="41"/>
      <c r="S15" s="59">
        <f t="shared" ref="S15:S21" si="3">SUM(E15:Q15)</f>
        <v>0</v>
      </c>
      <c r="T15" s="41"/>
    </row>
    <row r="16" spans="1:21" s="37" customFormat="1" ht="12" x14ac:dyDescent="0.2">
      <c r="A16" s="45"/>
      <c r="C16" s="200">
        <v>3200</v>
      </c>
      <c r="D16" s="37" t="s">
        <v>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8">
        <v>0</v>
      </c>
      <c r="R16" s="41"/>
      <c r="S16" s="59">
        <f t="shared" si="3"/>
        <v>0</v>
      </c>
      <c r="T16" s="41"/>
    </row>
    <row r="17" spans="1:20" s="37" customFormat="1" ht="12" x14ac:dyDescent="0.2">
      <c r="A17" s="45"/>
      <c r="C17" s="38"/>
      <c r="E17" s="73">
        <f>SUBTOTAL(9,E15:E16)</f>
        <v>0</v>
      </c>
      <c r="F17" s="73">
        <f t="shared" ref="F17:S17" si="4">SUBTOTAL(9,F15:F16)</f>
        <v>0</v>
      </c>
      <c r="G17" s="73">
        <f t="shared" si="4"/>
        <v>0</v>
      </c>
      <c r="H17" s="73">
        <f t="shared" si="4"/>
        <v>0</v>
      </c>
      <c r="I17" s="73">
        <f t="shared" si="4"/>
        <v>0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3">
        <f t="shared" si="4"/>
        <v>0</v>
      </c>
      <c r="O17" s="73">
        <f t="shared" si="4"/>
        <v>0</v>
      </c>
      <c r="P17" s="73">
        <f t="shared" si="4"/>
        <v>0</v>
      </c>
      <c r="Q17" s="73">
        <f t="shared" si="4"/>
        <v>0</v>
      </c>
      <c r="R17" s="41"/>
      <c r="S17" s="61">
        <f t="shared" si="4"/>
        <v>0</v>
      </c>
      <c r="T17" s="41"/>
    </row>
    <row r="18" spans="1:20" s="37" customFormat="1" ht="12" x14ac:dyDescent="0.2">
      <c r="A18" s="45"/>
      <c r="C18" s="49" t="s">
        <v>148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41"/>
      <c r="S18" s="59"/>
      <c r="T18" s="41"/>
    </row>
    <row r="19" spans="1:20" s="37" customFormat="1" ht="12" x14ac:dyDescent="0.2">
      <c r="A19" s="45"/>
      <c r="C19" s="200">
        <v>4500</v>
      </c>
      <c r="D19" s="37" t="s">
        <v>6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8">
        <v>0</v>
      </c>
      <c r="R19" s="41"/>
      <c r="S19" s="59">
        <f t="shared" si="3"/>
        <v>0</v>
      </c>
      <c r="T19" s="41"/>
    </row>
    <row r="20" spans="1:20" s="37" customFormat="1" ht="12" x14ac:dyDescent="0.2">
      <c r="A20" s="45"/>
      <c r="C20" s="200">
        <v>4571</v>
      </c>
      <c r="D20" s="37" t="s">
        <v>7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68">
        <v>0</v>
      </c>
      <c r="R20" s="41"/>
      <c r="S20" s="59">
        <f t="shared" si="3"/>
        <v>0</v>
      </c>
      <c r="T20" s="41"/>
    </row>
    <row r="21" spans="1:20" s="37" customFormat="1" ht="12" x14ac:dyDescent="0.2">
      <c r="A21" s="45"/>
      <c r="C21" s="38">
        <v>4703</v>
      </c>
      <c r="D21" s="37" t="s">
        <v>185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68">
        <v>0</v>
      </c>
      <c r="R21" s="41"/>
      <c r="S21" s="59">
        <f t="shared" si="3"/>
        <v>0</v>
      </c>
      <c r="T21" s="41"/>
    </row>
    <row r="22" spans="1:20" s="37" customFormat="1" ht="12" x14ac:dyDescent="0.2">
      <c r="A22" s="45"/>
      <c r="C22" s="38"/>
      <c r="E22" s="73">
        <f>SUBTOTAL(9,E19:E21)</f>
        <v>0</v>
      </c>
      <c r="F22" s="73">
        <f t="shared" ref="F22:P22" si="5">SUBTOTAL(9,F19:F21)</f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  <c r="J22" s="73">
        <f t="shared" si="5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5"/>
        <v>0</v>
      </c>
      <c r="O22" s="73">
        <f t="shared" si="5"/>
        <v>0</v>
      </c>
      <c r="P22" s="73">
        <f t="shared" si="5"/>
        <v>0</v>
      </c>
      <c r="Q22" s="73">
        <f>SUBTOTAL(9,Q19:Q21)</f>
        <v>0</v>
      </c>
      <c r="R22" s="41"/>
      <c r="S22" s="61">
        <f>SUBTOTAL(9,S19:S21)</f>
        <v>0</v>
      </c>
      <c r="T22" s="41"/>
    </row>
    <row r="23" spans="1:20" s="37" customFormat="1" ht="12" x14ac:dyDescent="0.2">
      <c r="A23" s="45"/>
      <c r="C23" s="49" t="s">
        <v>149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41"/>
      <c r="S23" s="62"/>
      <c r="T23" s="41"/>
    </row>
    <row r="24" spans="1:20" s="37" customFormat="1" ht="12" x14ac:dyDescent="0.2">
      <c r="A24" s="45"/>
      <c r="C24" s="200">
        <v>1790</v>
      </c>
      <c r="D24" s="37" t="s">
        <v>4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8">
        <v>0</v>
      </c>
      <c r="R24" s="41"/>
      <c r="S24" s="59">
        <f>SUM(E24:Q24)</f>
        <v>0</v>
      </c>
      <c r="T24" s="41"/>
    </row>
    <row r="25" spans="1:20" s="37" customFormat="1" ht="12" x14ac:dyDescent="0.2">
      <c r="A25" s="45"/>
      <c r="C25" s="38"/>
      <c r="E25" s="73">
        <f>SUBTOTAL(9,E24)</f>
        <v>0</v>
      </c>
      <c r="F25" s="73">
        <f t="shared" ref="F25:S25" si="6">SUBTOTAL(9,F24)</f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6"/>
        <v>0</v>
      </c>
      <c r="O25" s="73">
        <f t="shared" si="6"/>
        <v>0</v>
      </c>
      <c r="P25" s="73">
        <f t="shared" si="6"/>
        <v>0</v>
      </c>
      <c r="Q25" s="73">
        <f t="shared" si="6"/>
        <v>0</v>
      </c>
      <c r="R25" s="41"/>
      <c r="S25" s="61">
        <f t="shared" si="6"/>
        <v>0</v>
      </c>
      <c r="T25" s="41"/>
    </row>
    <row r="26" spans="1:20" s="37" customFormat="1" ht="9" customHeight="1" x14ac:dyDescent="0.2">
      <c r="A26" s="45"/>
      <c r="C26" s="3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41"/>
      <c r="S26" s="59"/>
      <c r="T26" s="41"/>
    </row>
    <row r="27" spans="1:20" s="45" customFormat="1" ht="12" x14ac:dyDescent="0.2">
      <c r="A27" s="45" t="s">
        <v>105</v>
      </c>
      <c r="C27" s="46"/>
      <c r="E27" s="71">
        <f t="shared" ref="E27:Q27" si="7">SUBTOTAL(9,E8:E26)</f>
        <v>132883.33333333331</v>
      </c>
      <c r="F27" s="71">
        <f t="shared" si="7"/>
        <v>132883.33333333331</v>
      </c>
      <c r="G27" s="71">
        <f t="shared" si="7"/>
        <v>132883.33333333331</v>
      </c>
      <c r="H27" s="71">
        <f t="shared" si="7"/>
        <v>132883.33333333331</v>
      </c>
      <c r="I27" s="71">
        <f t="shared" si="7"/>
        <v>132883.33333333331</v>
      </c>
      <c r="J27" s="71">
        <f t="shared" si="7"/>
        <v>132883.33333333331</v>
      </c>
      <c r="K27" s="71">
        <f t="shared" si="7"/>
        <v>132883.33333333331</v>
      </c>
      <c r="L27" s="71">
        <f t="shared" si="7"/>
        <v>132883.33333333331</v>
      </c>
      <c r="M27" s="71">
        <f t="shared" si="7"/>
        <v>132883.33333333331</v>
      </c>
      <c r="N27" s="71">
        <f t="shared" si="7"/>
        <v>132883.33333333331</v>
      </c>
      <c r="O27" s="71">
        <f t="shared" si="7"/>
        <v>132883.33333333331</v>
      </c>
      <c r="P27" s="71">
        <f t="shared" si="7"/>
        <v>132883.33333333331</v>
      </c>
      <c r="Q27" s="69">
        <f t="shared" si="7"/>
        <v>0</v>
      </c>
      <c r="R27" s="48"/>
      <c r="S27" s="60">
        <f>SUBTOTAL(9,S8:S26)</f>
        <v>1594600</v>
      </c>
      <c r="T27" s="48"/>
    </row>
    <row r="28" spans="1:20" s="45" customFormat="1" ht="12" x14ac:dyDescent="0.2">
      <c r="C28" s="4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7"/>
      <c r="R28" s="48"/>
      <c r="S28" s="59"/>
      <c r="T28" s="48"/>
    </row>
    <row r="29" spans="1:20" s="37" customFormat="1" ht="12" x14ac:dyDescent="0.2">
      <c r="A29" s="45" t="s">
        <v>59</v>
      </c>
      <c r="C29" s="3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41"/>
      <c r="S29" s="59"/>
      <c r="T29" s="41"/>
    </row>
    <row r="30" spans="1:20" s="37" customFormat="1" ht="12" x14ac:dyDescent="0.2">
      <c r="C30" s="49" t="s">
        <v>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41"/>
      <c r="S30" s="59"/>
      <c r="T30" s="41"/>
    </row>
    <row r="31" spans="1:20" s="37" customFormat="1" ht="12" x14ac:dyDescent="0.2">
      <c r="C31" s="200">
        <v>6111</v>
      </c>
      <c r="D31" s="37" t="s">
        <v>191</v>
      </c>
      <c r="E31" s="67">
        <v>11925.28125</v>
      </c>
      <c r="F31" s="67">
        <v>11925.28125</v>
      </c>
      <c r="G31" s="67">
        <v>11925.28125</v>
      </c>
      <c r="H31" s="67">
        <v>11925.28125</v>
      </c>
      <c r="I31" s="67">
        <v>11925.28125</v>
      </c>
      <c r="J31" s="67">
        <v>11925.28125</v>
      </c>
      <c r="K31" s="67">
        <v>11925.28125</v>
      </c>
      <c r="L31" s="67">
        <v>11925.28125</v>
      </c>
      <c r="M31" s="67">
        <v>11925.28125</v>
      </c>
      <c r="N31" s="67">
        <v>11925.28125</v>
      </c>
      <c r="O31" s="67">
        <v>11925.28125</v>
      </c>
      <c r="P31" s="67">
        <v>11925.28125</v>
      </c>
      <c r="Q31" s="68">
        <v>0</v>
      </c>
      <c r="R31" s="41"/>
      <c r="S31" s="59">
        <f t="shared" ref="S31:S40" si="8">SUM(E31:Q31)</f>
        <v>143103.375</v>
      </c>
      <c r="T31" s="41"/>
    </row>
    <row r="32" spans="1:20" s="37" customFormat="1" ht="12" x14ac:dyDescent="0.2">
      <c r="C32" s="200">
        <v>6114</v>
      </c>
      <c r="D32" s="37" t="s">
        <v>192</v>
      </c>
      <c r="E32" s="67">
        <v>7827.6041666666679</v>
      </c>
      <c r="F32" s="67">
        <v>7827.6041666666679</v>
      </c>
      <c r="G32" s="67">
        <v>7827.6041666666679</v>
      </c>
      <c r="H32" s="67">
        <v>7827.6041666666679</v>
      </c>
      <c r="I32" s="67">
        <v>7827.6041666666679</v>
      </c>
      <c r="J32" s="67">
        <v>7827.6041666666679</v>
      </c>
      <c r="K32" s="67">
        <v>7827.6041666666679</v>
      </c>
      <c r="L32" s="67">
        <v>7827.6041666666679</v>
      </c>
      <c r="M32" s="67">
        <v>7827.6041666666679</v>
      </c>
      <c r="N32" s="67">
        <v>7827.6041666666679</v>
      </c>
      <c r="O32" s="67">
        <v>7827.6041666666679</v>
      </c>
      <c r="P32" s="67">
        <v>7827.6041666666679</v>
      </c>
      <c r="Q32" s="68">
        <v>0</v>
      </c>
      <c r="R32" s="41"/>
      <c r="S32" s="59">
        <f t="shared" si="8"/>
        <v>93931.250000000044</v>
      </c>
      <c r="T32" s="41"/>
    </row>
    <row r="33" spans="3:20" s="37" customFormat="1" ht="12" x14ac:dyDescent="0.2">
      <c r="C33" s="200">
        <v>6117</v>
      </c>
      <c r="D33" s="37" t="s">
        <v>228</v>
      </c>
      <c r="E33" s="67">
        <v>4006.8945000000017</v>
      </c>
      <c r="F33" s="67">
        <v>4006.8945000000017</v>
      </c>
      <c r="G33" s="67">
        <v>4006.8945000000017</v>
      </c>
      <c r="H33" s="67">
        <v>4006.8945000000017</v>
      </c>
      <c r="I33" s="67">
        <v>4006.8945000000017</v>
      </c>
      <c r="J33" s="67">
        <v>4006.8945000000017</v>
      </c>
      <c r="K33" s="67">
        <v>4006.8945000000017</v>
      </c>
      <c r="L33" s="67">
        <v>4006.8945000000017</v>
      </c>
      <c r="M33" s="67">
        <v>4006.8945000000017</v>
      </c>
      <c r="N33" s="67">
        <v>4006.8945000000017</v>
      </c>
      <c r="O33" s="67">
        <v>4006.8945000000017</v>
      </c>
      <c r="P33" s="67">
        <v>4006.8945000000017</v>
      </c>
      <c r="Q33" s="68">
        <v>0</v>
      </c>
      <c r="R33" s="41"/>
      <c r="S33" s="59">
        <f t="shared" si="8"/>
        <v>48082.734000000019</v>
      </c>
      <c r="T33" s="41"/>
    </row>
    <row r="34" spans="3:20" s="37" customFormat="1" ht="12" x14ac:dyDescent="0.2">
      <c r="C34" s="200">
        <v>6127</v>
      </c>
      <c r="D34" s="37" t="s">
        <v>229</v>
      </c>
      <c r="E34" s="67">
        <v>3813.3333333333339</v>
      </c>
      <c r="F34" s="67">
        <v>3813.3333333333339</v>
      </c>
      <c r="G34" s="67">
        <v>3813.3333333333339</v>
      </c>
      <c r="H34" s="67">
        <v>3813.3333333333339</v>
      </c>
      <c r="I34" s="67">
        <v>3813.3333333333339</v>
      </c>
      <c r="J34" s="67">
        <v>3813.3333333333339</v>
      </c>
      <c r="K34" s="67">
        <v>3813.3333333333339</v>
      </c>
      <c r="L34" s="67">
        <v>3813.3333333333339</v>
      </c>
      <c r="M34" s="67">
        <v>3813.3333333333339</v>
      </c>
      <c r="N34" s="67">
        <v>3813.3333333333339</v>
      </c>
      <c r="O34" s="67">
        <v>3813.3333333333339</v>
      </c>
      <c r="P34" s="67">
        <v>3813.3333333333339</v>
      </c>
      <c r="Q34" s="68">
        <v>0</v>
      </c>
      <c r="R34" s="41"/>
      <c r="S34" s="59">
        <f t="shared" si="8"/>
        <v>45760.000000000022</v>
      </c>
      <c r="T34" s="41"/>
    </row>
    <row r="35" spans="3:20" s="37" customFormat="1" ht="12" x14ac:dyDescent="0.2">
      <c r="C35" s="200">
        <v>6151</v>
      </c>
      <c r="D35" s="37" t="s">
        <v>189</v>
      </c>
      <c r="E35" s="67">
        <v>600</v>
      </c>
      <c r="F35" s="67">
        <v>600</v>
      </c>
      <c r="G35" s="67">
        <v>600</v>
      </c>
      <c r="H35" s="67">
        <v>600</v>
      </c>
      <c r="I35" s="67">
        <v>600</v>
      </c>
      <c r="J35" s="67">
        <v>600</v>
      </c>
      <c r="K35" s="67">
        <v>600</v>
      </c>
      <c r="L35" s="67">
        <v>600</v>
      </c>
      <c r="M35" s="67">
        <v>600</v>
      </c>
      <c r="N35" s="67">
        <v>600</v>
      </c>
      <c r="O35" s="67">
        <v>600</v>
      </c>
      <c r="P35" s="67">
        <v>600</v>
      </c>
      <c r="Q35" s="68">
        <v>0</v>
      </c>
      <c r="R35" s="41"/>
      <c r="S35" s="59">
        <f t="shared" si="8"/>
        <v>7200</v>
      </c>
      <c r="T35" s="41"/>
    </row>
    <row r="36" spans="3:20" s="37" customFormat="1" ht="12" x14ac:dyDescent="0.2">
      <c r="C36" s="200">
        <v>6154</v>
      </c>
      <c r="D36" s="37" t="s">
        <v>190</v>
      </c>
      <c r="E36" s="67">
        <v>775</v>
      </c>
      <c r="F36" s="67">
        <v>775</v>
      </c>
      <c r="G36" s="67">
        <v>775</v>
      </c>
      <c r="H36" s="67">
        <v>775</v>
      </c>
      <c r="I36" s="67">
        <v>775</v>
      </c>
      <c r="J36" s="67">
        <v>775</v>
      </c>
      <c r="K36" s="67">
        <v>775</v>
      </c>
      <c r="L36" s="67">
        <v>775</v>
      </c>
      <c r="M36" s="67">
        <v>775</v>
      </c>
      <c r="N36" s="67">
        <v>775</v>
      </c>
      <c r="O36" s="67">
        <v>775</v>
      </c>
      <c r="P36" s="67">
        <v>775</v>
      </c>
      <c r="Q36" s="68">
        <v>0</v>
      </c>
      <c r="R36" s="41"/>
      <c r="S36" s="59">
        <f t="shared" si="8"/>
        <v>9300</v>
      </c>
      <c r="T36" s="41"/>
    </row>
    <row r="37" spans="3:20" s="37" customFormat="1" ht="12" x14ac:dyDescent="0.2">
      <c r="C37" s="200">
        <v>6157</v>
      </c>
      <c r="D37" s="37" t="s">
        <v>230</v>
      </c>
      <c r="E37" s="67">
        <v>250</v>
      </c>
      <c r="F37" s="67">
        <v>250</v>
      </c>
      <c r="G37" s="67">
        <v>250</v>
      </c>
      <c r="H37" s="67">
        <v>250</v>
      </c>
      <c r="I37" s="67">
        <v>250</v>
      </c>
      <c r="J37" s="67">
        <v>250</v>
      </c>
      <c r="K37" s="67">
        <v>250</v>
      </c>
      <c r="L37" s="67">
        <v>250</v>
      </c>
      <c r="M37" s="67">
        <v>250</v>
      </c>
      <c r="N37" s="67">
        <v>250</v>
      </c>
      <c r="O37" s="67">
        <v>250</v>
      </c>
      <c r="P37" s="67">
        <v>250</v>
      </c>
      <c r="Q37" s="68">
        <v>0</v>
      </c>
      <c r="R37" s="41"/>
      <c r="S37" s="59">
        <f t="shared" si="8"/>
        <v>3000</v>
      </c>
      <c r="T37" s="41"/>
    </row>
    <row r="38" spans="3:20" s="37" customFormat="1" ht="12" x14ac:dyDescent="0.2">
      <c r="C38" s="200">
        <v>6161</v>
      </c>
      <c r="D38" s="37" t="s">
        <v>97</v>
      </c>
      <c r="E38" s="67">
        <v>74.352167293989169</v>
      </c>
      <c r="F38" s="67">
        <v>75</v>
      </c>
      <c r="G38" s="67">
        <v>75</v>
      </c>
      <c r="H38" s="67">
        <v>75</v>
      </c>
      <c r="I38" s="67">
        <v>75</v>
      </c>
      <c r="J38" s="67">
        <v>75</v>
      </c>
      <c r="K38" s="67">
        <v>75</v>
      </c>
      <c r="L38" s="67">
        <v>75</v>
      </c>
      <c r="M38" s="67">
        <v>75</v>
      </c>
      <c r="N38" s="67">
        <v>75</v>
      </c>
      <c r="O38" s="67">
        <v>75</v>
      </c>
      <c r="P38" s="67">
        <v>75</v>
      </c>
      <c r="Q38" s="68">
        <v>0</v>
      </c>
      <c r="R38" s="41"/>
      <c r="S38" s="59">
        <f t="shared" si="8"/>
        <v>899.35216729398917</v>
      </c>
      <c r="T38" s="41"/>
    </row>
    <row r="39" spans="3:20" s="37" customFormat="1" ht="12" x14ac:dyDescent="0.2">
      <c r="C39" s="200">
        <v>6164</v>
      </c>
      <c r="D39" s="37" t="s">
        <v>98</v>
      </c>
      <c r="E39" s="67">
        <v>62.5</v>
      </c>
      <c r="F39" s="67">
        <v>62.5</v>
      </c>
      <c r="G39" s="67">
        <v>62.5</v>
      </c>
      <c r="H39" s="67">
        <v>62.5</v>
      </c>
      <c r="I39" s="67">
        <v>62.5</v>
      </c>
      <c r="J39" s="67">
        <v>62.5</v>
      </c>
      <c r="K39" s="67">
        <v>62.5</v>
      </c>
      <c r="L39" s="67">
        <v>62.5</v>
      </c>
      <c r="M39" s="67">
        <v>62.5</v>
      </c>
      <c r="N39" s="67">
        <v>62.5</v>
      </c>
      <c r="O39" s="67">
        <v>62.5</v>
      </c>
      <c r="P39" s="67">
        <v>62.5</v>
      </c>
      <c r="Q39" s="68">
        <v>0</v>
      </c>
      <c r="R39" s="41"/>
      <c r="S39" s="59">
        <f t="shared" si="8"/>
        <v>750</v>
      </c>
      <c r="T39" s="41"/>
    </row>
    <row r="40" spans="3:20" s="37" customFormat="1" ht="12" x14ac:dyDescent="0.2">
      <c r="C40" s="200">
        <v>6167</v>
      </c>
      <c r="D40" s="37" t="s">
        <v>231</v>
      </c>
      <c r="E40" s="67">
        <v>37.5</v>
      </c>
      <c r="F40" s="67">
        <v>37.5</v>
      </c>
      <c r="G40" s="67">
        <v>37.5</v>
      </c>
      <c r="H40" s="67">
        <v>37.5</v>
      </c>
      <c r="I40" s="67">
        <v>37.5</v>
      </c>
      <c r="J40" s="67">
        <v>37.5</v>
      </c>
      <c r="K40" s="67">
        <v>37.5</v>
      </c>
      <c r="L40" s="67">
        <v>37.5</v>
      </c>
      <c r="M40" s="67">
        <v>37.5</v>
      </c>
      <c r="N40" s="67">
        <v>37.5</v>
      </c>
      <c r="O40" s="67">
        <v>37.5</v>
      </c>
      <c r="P40" s="67">
        <v>37.5</v>
      </c>
      <c r="Q40" s="68">
        <v>0</v>
      </c>
      <c r="R40" s="41"/>
      <c r="S40" s="59">
        <f t="shared" si="8"/>
        <v>450</v>
      </c>
      <c r="T40" s="41"/>
    </row>
    <row r="41" spans="3:20" s="37" customFormat="1" ht="12" x14ac:dyDescent="0.2">
      <c r="C41" s="38"/>
      <c r="E41" s="73">
        <f t="shared" ref="E41:Q41" si="9">SUBTOTAL(9,E31:E40)</f>
        <v>29372.465417293992</v>
      </c>
      <c r="F41" s="73">
        <f t="shared" si="9"/>
        <v>29373.113250000002</v>
      </c>
      <c r="G41" s="73">
        <f t="shared" si="9"/>
        <v>29373.113250000002</v>
      </c>
      <c r="H41" s="73">
        <f t="shared" si="9"/>
        <v>29373.113250000002</v>
      </c>
      <c r="I41" s="73">
        <f t="shared" si="9"/>
        <v>29373.113250000002</v>
      </c>
      <c r="J41" s="73">
        <f t="shared" si="9"/>
        <v>29373.113250000002</v>
      </c>
      <c r="K41" s="73">
        <f t="shared" si="9"/>
        <v>29373.113250000002</v>
      </c>
      <c r="L41" s="73">
        <f t="shared" si="9"/>
        <v>29373.113250000002</v>
      </c>
      <c r="M41" s="73">
        <f t="shared" si="9"/>
        <v>29373.113250000002</v>
      </c>
      <c r="N41" s="73">
        <f t="shared" si="9"/>
        <v>29373.113250000002</v>
      </c>
      <c r="O41" s="73">
        <f t="shared" si="9"/>
        <v>29373.113250000002</v>
      </c>
      <c r="P41" s="73">
        <f t="shared" si="9"/>
        <v>29373.113250000002</v>
      </c>
      <c r="Q41" s="73">
        <f t="shared" si="9"/>
        <v>0</v>
      </c>
      <c r="R41" s="41"/>
      <c r="S41" s="61">
        <f>SUBTOTAL(9,S31:S40)</f>
        <v>352476.71116729407</v>
      </c>
      <c r="T41" s="41"/>
    </row>
    <row r="42" spans="3:20" s="37" customFormat="1" ht="12" x14ac:dyDescent="0.2">
      <c r="C42" s="49" t="s">
        <v>99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1"/>
      <c r="S42" s="59"/>
      <c r="T42" s="41"/>
    </row>
    <row r="43" spans="3:20" s="37" customFormat="1" ht="12" x14ac:dyDescent="0.2">
      <c r="C43" s="200">
        <v>6211</v>
      </c>
      <c r="D43" s="37" t="s">
        <v>198</v>
      </c>
      <c r="E43" s="67">
        <v>72</v>
      </c>
      <c r="F43" s="67">
        <v>72</v>
      </c>
      <c r="G43" s="67">
        <v>72</v>
      </c>
      <c r="H43" s="67">
        <v>72</v>
      </c>
      <c r="I43" s="67">
        <v>72</v>
      </c>
      <c r="J43" s="67">
        <v>72</v>
      </c>
      <c r="K43" s="67">
        <v>72</v>
      </c>
      <c r="L43" s="67">
        <v>72</v>
      </c>
      <c r="M43" s="67">
        <v>72</v>
      </c>
      <c r="N43" s="67">
        <v>72</v>
      </c>
      <c r="O43" s="67">
        <v>72</v>
      </c>
      <c r="P43" s="67">
        <v>72</v>
      </c>
      <c r="Q43" s="68">
        <v>0</v>
      </c>
      <c r="R43" s="41"/>
      <c r="S43" s="59">
        <f>SUM(E43:Q43)</f>
        <v>864</v>
      </c>
      <c r="T43" s="41"/>
    </row>
    <row r="44" spans="3:20" s="37" customFormat="1" ht="12" x14ac:dyDescent="0.2">
      <c r="C44" s="200">
        <v>6214</v>
      </c>
      <c r="D44" s="37" t="s">
        <v>199</v>
      </c>
      <c r="E44" s="67">
        <v>44</v>
      </c>
      <c r="F44" s="67">
        <v>44</v>
      </c>
      <c r="G44" s="67">
        <v>44</v>
      </c>
      <c r="H44" s="67">
        <v>44</v>
      </c>
      <c r="I44" s="67">
        <v>44</v>
      </c>
      <c r="J44" s="67">
        <v>44</v>
      </c>
      <c r="K44" s="67">
        <v>44</v>
      </c>
      <c r="L44" s="67">
        <v>44</v>
      </c>
      <c r="M44" s="67">
        <v>44</v>
      </c>
      <c r="N44" s="67">
        <v>44</v>
      </c>
      <c r="O44" s="67">
        <v>44</v>
      </c>
      <c r="P44" s="67">
        <v>44</v>
      </c>
      <c r="Q44" s="68">
        <v>0</v>
      </c>
      <c r="R44" s="41"/>
      <c r="S44" s="59">
        <f t="shared" ref="S44:S61" si="10">SUM(E44:Q44)</f>
        <v>528</v>
      </c>
      <c r="T44" s="41"/>
    </row>
    <row r="45" spans="3:20" s="37" customFormat="1" ht="12" x14ac:dyDescent="0.2">
      <c r="C45" s="200">
        <v>6217</v>
      </c>
      <c r="D45" s="37" t="s">
        <v>222</v>
      </c>
      <c r="E45" s="67">
        <v>31</v>
      </c>
      <c r="F45" s="67">
        <v>31</v>
      </c>
      <c r="G45" s="67">
        <v>31</v>
      </c>
      <c r="H45" s="67">
        <v>31</v>
      </c>
      <c r="I45" s="67">
        <v>31</v>
      </c>
      <c r="J45" s="67">
        <v>31</v>
      </c>
      <c r="K45" s="67">
        <v>31</v>
      </c>
      <c r="L45" s="67">
        <v>31</v>
      </c>
      <c r="M45" s="67">
        <v>31</v>
      </c>
      <c r="N45" s="67">
        <v>31</v>
      </c>
      <c r="O45" s="67">
        <v>31</v>
      </c>
      <c r="P45" s="67">
        <v>31</v>
      </c>
      <c r="Q45" s="68">
        <v>0</v>
      </c>
      <c r="R45" s="41"/>
      <c r="S45" s="59">
        <f t="shared" si="10"/>
        <v>372</v>
      </c>
      <c r="T45" s="41"/>
    </row>
    <row r="46" spans="3:20" s="37" customFormat="1" ht="12" x14ac:dyDescent="0.2">
      <c r="C46" s="200">
        <v>6227</v>
      </c>
      <c r="D46" s="37" t="s">
        <v>221</v>
      </c>
      <c r="E46" s="67">
        <v>236.42666666666665</v>
      </c>
      <c r="F46" s="67">
        <v>236.42666666666665</v>
      </c>
      <c r="G46" s="67">
        <v>236.42666666666665</v>
      </c>
      <c r="H46" s="67">
        <v>236.42666666666665</v>
      </c>
      <c r="I46" s="67">
        <v>236.42666666666665</v>
      </c>
      <c r="J46" s="67">
        <v>236.42666666666665</v>
      </c>
      <c r="K46" s="67">
        <v>236.42666666666665</v>
      </c>
      <c r="L46" s="67">
        <v>236.42666666666665</v>
      </c>
      <c r="M46" s="67">
        <v>236.42666666666665</v>
      </c>
      <c r="N46" s="67">
        <v>236.42666666666665</v>
      </c>
      <c r="O46" s="67">
        <v>236.42666666666665</v>
      </c>
      <c r="P46" s="67">
        <v>236.42666666666665</v>
      </c>
      <c r="Q46" s="68">
        <v>0</v>
      </c>
      <c r="R46" s="41"/>
      <c r="S46" s="59">
        <f t="shared" si="10"/>
        <v>2837.1200000000003</v>
      </c>
      <c r="T46" s="41"/>
    </row>
    <row r="47" spans="3:20" s="37" customFormat="1" ht="12" x14ac:dyDescent="0.2">
      <c r="C47" s="200">
        <v>6231</v>
      </c>
      <c r="D47" s="37" t="s">
        <v>205</v>
      </c>
      <c r="E47" s="67">
        <v>2686.7658333333334</v>
      </c>
      <c r="F47" s="67">
        <v>2686.7658333333334</v>
      </c>
      <c r="G47" s="67">
        <v>2686.7658333333334</v>
      </c>
      <c r="H47" s="67">
        <v>2686.7658333333334</v>
      </c>
      <c r="I47" s="67">
        <v>2686.7658333333334</v>
      </c>
      <c r="J47" s="67">
        <v>2686.7658333333334</v>
      </c>
      <c r="K47" s="67">
        <v>2686.7658333333334</v>
      </c>
      <c r="L47" s="67">
        <v>2686.7658333333334</v>
      </c>
      <c r="M47" s="67">
        <v>2686.7658333333334</v>
      </c>
      <c r="N47" s="67">
        <v>2686.7658333333334</v>
      </c>
      <c r="O47" s="67">
        <v>2686.7658333333334</v>
      </c>
      <c r="P47" s="67">
        <v>2686.7658333333334</v>
      </c>
      <c r="Q47" s="68">
        <v>0</v>
      </c>
      <c r="R47" s="41"/>
      <c r="S47" s="59">
        <f t="shared" si="10"/>
        <v>32241.190000000006</v>
      </c>
      <c r="T47" s="41"/>
    </row>
    <row r="48" spans="3:20" s="37" customFormat="1" ht="12" x14ac:dyDescent="0.2">
      <c r="C48" s="200">
        <v>6234</v>
      </c>
      <c r="D48" s="37" t="s">
        <v>206</v>
      </c>
      <c r="E48" s="67">
        <v>2289.5741666666668</v>
      </c>
      <c r="F48" s="67">
        <v>2289.5741666666668</v>
      </c>
      <c r="G48" s="67">
        <v>2289.5741666666668</v>
      </c>
      <c r="H48" s="67">
        <v>2289.5741666666668</v>
      </c>
      <c r="I48" s="67">
        <v>2289.5741666666668</v>
      </c>
      <c r="J48" s="67">
        <v>2289.5741666666668</v>
      </c>
      <c r="K48" s="67">
        <v>2289.5741666666668</v>
      </c>
      <c r="L48" s="67">
        <v>2289.5741666666668</v>
      </c>
      <c r="M48" s="67">
        <v>2289.5741666666668</v>
      </c>
      <c r="N48" s="67">
        <v>2289.5741666666668</v>
      </c>
      <c r="O48" s="67">
        <v>2289.5741666666668</v>
      </c>
      <c r="P48" s="67">
        <v>2289.5741666666668</v>
      </c>
      <c r="Q48" s="68">
        <v>0</v>
      </c>
      <c r="R48" s="41"/>
      <c r="S48" s="59">
        <f t="shared" si="10"/>
        <v>27474.889999999996</v>
      </c>
      <c r="T48" s="41"/>
    </row>
    <row r="49" spans="3:20" s="37" customFormat="1" ht="12" x14ac:dyDescent="0.2">
      <c r="C49" s="200">
        <v>6237</v>
      </c>
      <c r="D49" s="37" t="s">
        <v>223</v>
      </c>
      <c r="E49" s="67">
        <v>611.05166666666662</v>
      </c>
      <c r="F49" s="67">
        <v>611.05166666666662</v>
      </c>
      <c r="G49" s="67">
        <v>611.05166666666662</v>
      </c>
      <c r="H49" s="67">
        <v>611.05166666666662</v>
      </c>
      <c r="I49" s="67">
        <v>611.05166666666662</v>
      </c>
      <c r="J49" s="67">
        <v>611.05166666666662</v>
      </c>
      <c r="K49" s="67">
        <v>611.05166666666662</v>
      </c>
      <c r="L49" s="67">
        <v>611.05166666666662</v>
      </c>
      <c r="M49" s="67">
        <v>611.05166666666662</v>
      </c>
      <c r="N49" s="67">
        <v>611.05166666666662</v>
      </c>
      <c r="O49" s="67">
        <v>611.05166666666662</v>
      </c>
      <c r="P49" s="67">
        <v>611.05166666666662</v>
      </c>
      <c r="Q49" s="68">
        <v>0</v>
      </c>
      <c r="R49" s="41"/>
      <c r="S49" s="59">
        <f t="shared" si="10"/>
        <v>7332.6199999999981</v>
      </c>
      <c r="T49" s="41"/>
    </row>
    <row r="50" spans="3:20" s="37" customFormat="1" ht="12" x14ac:dyDescent="0.2">
      <c r="C50" s="200">
        <v>6241</v>
      </c>
      <c r="D50" s="37" t="s">
        <v>196</v>
      </c>
      <c r="E50" s="67">
        <v>182.70416666666665</v>
      </c>
      <c r="F50" s="67">
        <v>182.70416666666665</v>
      </c>
      <c r="G50" s="67">
        <v>182.70416666666665</v>
      </c>
      <c r="H50" s="67">
        <v>182.70416666666665</v>
      </c>
      <c r="I50" s="67">
        <v>182.70416666666665</v>
      </c>
      <c r="J50" s="67">
        <v>182.70416666666665</v>
      </c>
      <c r="K50" s="67">
        <v>182.70416666666665</v>
      </c>
      <c r="L50" s="67">
        <v>182.70416666666665</v>
      </c>
      <c r="M50" s="67">
        <v>182.70416666666665</v>
      </c>
      <c r="N50" s="67">
        <v>182.70416666666665</v>
      </c>
      <c r="O50" s="67">
        <v>182.70416666666665</v>
      </c>
      <c r="P50" s="67">
        <v>182.70416666666665</v>
      </c>
      <c r="Q50" s="68">
        <v>0</v>
      </c>
      <c r="R50" s="41"/>
      <c r="S50" s="59">
        <f t="shared" si="10"/>
        <v>2192.4499999999998</v>
      </c>
      <c r="T50" s="41"/>
    </row>
    <row r="51" spans="3:20" s="37" customFormat="1" ht="12" x14ac:dyDescent="0.2">
      <c r="C51" s="200">
        <v>6244</v>
      </c>
      <c r="D51" s="37" t="s">
        <v>197</v>
      </c>
      <c r="E51" s="67">
        <v>120.93166666666667</v>
      </c>
      <c r="F51" s="67">
        <v>120.93166666666667</v>
      </c>
      <c r="G51" s="67">
        <v>120.93166666666667</v>
      </c>
      <c r="H51" s="67">
        <v>120.93166666666667</v>
      </c>
      <c r="I51" s="67">
        <v>120.93166666666667</v>
      </c>
      <c r="J51" s="67">
        <v>120.93166666666667</v>
      </c>
      <c r="K51" s="67">
        <v>120.93166666666667</v>
      </c>
      <c r="L51" s="67">
        <v>120.93166666666667</v>
      </c>
      <c r="M51" s="67">
        <v>120.93166666666667</v>
      </c>
      <c r="N51" s="67">
        <v>120.93166666666667</v>
      </c>
      <c r="O51" s="67">
        <v>120.93166666666667</v>
      </c>
      <c r="P51" s="67">
        <v>120.93166666666667</v>
      </c>
      <c r="Q51" s="68">
        <v>0</v>
      </c>
      <c r="R51" s="41"/>
      <c r="S51" s="59">
        <f t="shared" si="10"/>
        <v>1451.1799999999996</v>
      </c>
      <c r="T51" s="41"/>
    </row>
    <row r="52" spans="3:20" s="37" customFormat="1" ht="12" x14ac:dyDescent="0.2">
      <c r="C52" s="200">
        <v>6247</v>
      </c>
      <c r="D52" s="37" t="s">
        <v>224</v>
      </c>
      <c r="E52" s="67">
        <v>117.56166666666667</v>
      </c>
      <c r="F52" s="67">
        <v>117.56166666666667</v>
      </c>
      <c r="G52" s="67">
        <v>117.56166666666667</v>
      </c>
      <c r="H52" s="67">
        <v>117.56166666666667</v>
      </c>
      <c r="I52" s="67">
        <v>117.56166666666667</v>
      </c>
      <c r="J52" s="67">
        <v>117.56166666666667</v>
      </c>
      <c r="K52" s="67">
        <v>117.56166666666667</v>
      </c>
      <c r="L52" s="67">
        <v>117.56166666666667</v>
      </c>
      <c r="M52" s="67">
        <v>117.56166666666667</v>
      </c>
      <c r="N52" s="67">
        <v>117.56166666666667</v>
      </c>
      <c r="O52" s="67">
        <v>117.56166666666667</v>
      </c>
      <c r="P52" s="67">
        <v>117.56166666666667</v>
      </c>
      <c r="Q52" s="68">
        <v>0</v>
      </c>
      <c r="R52" s="41"/>
      <c r="S52" s="59">
        <f t="shared" si="10"/>
        <v>1410.7400000000005</v>
      </c>
      <c r="T52" s="41"/>
    </row>
    <row r="53" spans="3:20" s="37" customFormat="1" ht="12" x14ac:dyDescent="0.2">
      <c r="C53" s="200">
        <v>6261</v>
      </c>
      <c r="D53" s="37" t="s">
        <v>207</v>
      </c>
      <c r="E53" s="67">
        <v>78</v>
      </c>
      <c r="F53" s="67">
        <v>78</v>
      </c>
      <c r="G53" s="67">
        <v>78</v>
      </c>
      <c r="H53" s="67">
        <v>78</v>
      </c>
      <c r="I53" s="67">
        <v>78</v>
      </c>
      <c r="J53" s="67">
        <v>78</v>
      </c>
      <c r="K53" s="67">
        <v>78</v>
      </c>
      <c r="L53" s="67">
        <v>78</v>
      </c>
      <c r="M53" s="67">
        <v>78</v>
      </c>
      <c r="N53" s="67">
        <v>78</v>
      </c>
      <c r="O53" s="67">
        <v>78</v>
      </c>
      <c r="P53" s="67">
        <v>78</v>
      </c>
      <c r="Q53" s="68">
        <v>0</v>
      </c>
      <c r="R53" s="41"/>
      <c r="S53" s="59">
        <f t="shared" si="10"/>
        <v>936</v>
      </c>
      <c r="T53" s="41"/>
    </row>
    <row r="54" spans="3:20" s="37" customFormat="1" ht="12" x14ac:dyDescent="0.2">
      <c r="C54" s="200">
        <v>6264</v>
      </c>
      <c r="D54" s="37" t="s">
        <v>208</v>
      </c>
      <c r="E54" s="67">
        <v>39</v>
      </c>
      <c r="F54" s="67">
        <v>39</v>
      </c>
      <c r="G54" s="67">
        <v>39</v>
      </c>
      <c r="H54" s="67">
        <v>39</v>
      </c>
      <c r="I54" s="67">
        <v>39</v>
      </c>
      <c r="J54" s="67">
        <v>39</v>
      </c>
      <c r="K54" s="67">
        <v>39</v>
      </c>
      <c r="L54" s="67">
        <v>39</v>
      </c>
      <c r="M54" s="67">
        <v>39</v>
      </c>
      <c r="N54" s="67">
        <v>39</v>
      </c>
      <c r="O54" s="67">
        <v>39</v>
      </c>
      <c r="P54" s="67">
        <v>39</v>
      </c>
      <c r="Q54" s="68">
        <v>0</v>
      </c>
      <c r="R54" s="41"/>
      <c r="S54" s="59">
        <f t="shared" si="10"/>
        <v>468</v>
      </c>
      <c r="T54" s="41"/>
    </row>
    <row r="55" spans="3:20" s="37" customFormat="1" ht="12" x14ac:dyDescent="0.2">
      <c r="C55" s="200">
        <v>6267</v>
      </c>
      <c r="D55" s="37" t="s">
        <v>225</v>
      </c>
      <c r="E55" s="67">
        <v>96.2</v>
      </c>
      <c r="F55" s="67">
        <v>96.2</v>
      </c>
      <c r="G55" s="67">
        <v>96.2</v>
      </c>
      <c r="H55" s="67">
        <v>96.2</v>
      </c>
      <c r="I55" s="67">
        <v>96.2</v>
      </c>
      <c r="J55" s="67">
        <v>96.2</v>
      </c>
      <c r="K55" s="67">
        <v>96.2</v>
      </c>
      <c r="L55" s="67">
        <v>96.2</v>
      </c>
      <c r="M55" s="67">
        <v>96.2</v>
      </c>
      <c r="N55" s="67">
        <v>96.2</v>
      </c>
      <c r="O55" s="67">
        <v>96.2</v>
      </c>
      <c r="P55" s="67">
        <v>96.2</v>
      </c>
      <c r="Q55" s="68">
        <v>0</v>
      </c>
      <c r="R55" s="41"/>
      <c r="S55" s="59">
        <f t="shared" si="10"/>
        <v>1154.4000000000003</v>
      </c>
      <c r="T55" s="41"/>
    </row>
    <row r="56" spans="3:20" s="37" customFormat="1" ht="12" x14ac:dyDescent="0.2">
      <c r="C56" s="200">
        <v>6271</v>
      </c>
      <c r="D56" s="37" t="s">
        <v>209</v>
      </c>
      <c r="E56" s="67">
        <v>81.901666666666671</v>
      </c>
      <c r="F56" s="67">
        <v>81.901666666666671</v>
      </c>
      <c r="G56" s="67">
        <v>81.901666666666671</v>
      </c>
      <c r="H56" s="67">
        <v>81.901666666666671</v>
      </c>
      <c r="I56" s="67">
        <v>81.901666666666671</v>
      </c>
      <c r="J56" s="67">
        <v>81.901666666666671</v>
      </c>
      <c r="K56" s="67">
        <v>81.901666666666671</v>
      </c>
      <c r="L56" s="67">
        <v>81.901666666666671</v>
      </c>
      <c r="M56" s="67">
        <v>81.901666666666671</v>
      </c>
      <c r="N56" s="67">
        <v>81.901666666666671</v>
      </c>
      <c r="O56" s="67">
        <v>81.901666666666671</v>
      </c>
      <c r="P56" s="67">
        <v>81.901666666666671</v>
      </c>
      <c r="Q56" s="68">
        <v>0</v>
      </c>
      <c r="R56" s="41"/>
      <c r="S56" s="59">
        <f t="shared" si="10"/>
        <v>982.81999999999982</v>
      </c>
      <c r="T56" s="41"/>
    </row>
    <row r="57" spans="3:20" s="37" customFormat="1" ht="12" x14ac:dyDescent="0.2">
      <c r="C57" s="200">
        <v>6274</v>
      </c>
      <c r="D57" s="37" t="s">
        <v>210</v>
      </c>
      <c r="E57" s="67">
        <v>54.210833333333333</v>
      </c>
      <c r="F57" s="67">
        <v>54.210833333333333</v>
      </c>
      <c r="G57" s="67">
        <v>54.210833333333333</v>
      </c>
      <c r="H57" s="67">
        <v>54.210833333333333</v>
      </c>
      <c r="I57" s="67">
        <v>54.210833333333333</v>
      </c>
      <c r="J57" s="67">
        <v>54.210833333333333</v>
      </c>
      <c r="K57" s="67">
        <v>54.210833333333333</v>
      </c>
      <c r="L57" s="67">
        <v>54.210833333333333</v>
      </c>
      <c r="M57" s="67">
        <v>54.210833333333333</v>
      </c>
      <c r="N57" s="67">
        <v>54.210833333333333</v>
      </c>
      <c r="O57" s="67">
        <v>54.210833333333333</v>
      </c>
      <c r="P57" s="67">
        <v>54.210833333333333</v>
      </c>
      <c r="Q57" s="68">
        <v>0</v>
      </c>
      <c r="R57" s="41"/>
      <c r="S57" s="59">
        <f t="shared" si="10"/>
        <v>650.52999999999986</v>
      </c>
      <c r="T57" s="41"/>
    </row>
    <row r="58" spans="3:20" s="37" customFormat="1" ht="12" x14ac:dyDescent="0.2">
      <c r="C58" s="200">
        <v>6277</v>
      </c>
      <c r="D58" s="37" t="s">
        <v>226</v>
      </c>
      <c r="E58" s="67">
        <v>52.699999999999996</v>
      </c>
      <c r="F58" s="67">
        <v>52.699999999999996</v>
      </c>
      <c r="G58" s="67">
        <v>52.699999999999996</v>
      </c>
      <c r="H58" s="67">
        <v>52.699999999999996</v>
      </c>
      <c r="I58" s="67">
        <v>52.699999999999996</v>
      </c>
      <c r="J58" s="67">
        <v>52.699999999999996</v>
      </c>
      <c r="K58" s="67">
        <v>52.699999999999996</v>
      </c>
      <c r="L58" s="67">
        <v>52.699999999999996</v>
      </c>
      <c r="M58" s="67">
        <v>52.699999999999996</v>
      </c>
      <c r="N58" s="67">
        <v>52.699999999999996</v>
      </c>
      <c r="O58" s="67">
        <v>52.699999999999996</v>
      </c>
      <c r="P58" s="67">
        <v>52.699999999999996</v>
      </c>
      <c r="Q58" s="68">
        <v>0</v>
      </c>
      <c r="R58" s="41"/>
      <c r="S58" s="59">
        <f t="shared" si="10"/>
        <v>632.40000000000009</v>
      </c>
      <c r="T58" s="41"/>
    </row>
    <row r="59" spans="3:20" s="37" customFormat="1" ht="12" x14ac:dyDescent="0.2">
      <c r="C59" s="200">
        <v>6281</v>
      </c>
      <c r="D59" s="37" t="s">
        <v>193</v>
      </c>
      <c r="E59" s="67">
        <v>810</v>
      </c>
      <c r="F59" s="67">
        <v>810</v>
      </c>
      <c r="G59" s="67">
        <v>810</v>
      </c>
      <c r="H59" s="67">
        <v>810</v>
      </c>
      <c r="I59" s="67">
        <v>810</v>
      </c>
      <c r="J59" s="67">
        <v>810</v>
      </c>
      <c r="K59" s="67">
        <v>810</v>
      </c>
      <c r="L59" s="67">
        <v>810</v>
      </c>
      <c r="M59" s="67">
        <v>810</v>
      </c>
      <c r="N59" s="67">
        <v>810</v>
      </c>
      <c r="O59" s="67">
        <v>810</v>
      </c>
      <c r="P59" s="67">
        <v>810</v>
      </c>
      <c r="Q59" s="68">
        <v>0</v>
      </c>
      <c r="R59" s="41"/>
      <c r="S59" s="59">
        <f t="shared" si="10"/>
        <v>9720</v>
      </c>
      <c r="T59" s="41"/>
    </row>
    <row r="60" spans="3:20" s="37" customFormat="1" ht="12" x14ac:dyDescent="0.2">
      <c r="C60" s="200">
        <v>6284</v>
      </c>
      <c r="D60" s="37" t="s">
        <v>194</v>
      </c>
      <c r="E60" s="67">
        <v>605</v>
      </c>
      <c r="F60" s="67">
        <v>605</v>
      </c>
      <c r="G60" s="67">
        <v>605</v>
      </c>
      <c r="H60" s="67">
        <v>605</v>
      </c>
      <c r="I60" s="67">
        <v>605</v>
      </c>
      <c r="J60" s="67">
        <v>605</v>
      </c>
      <c r="K60" s="67">
        <v>605</v>
      </c>
      <c r="L60" s="67">
        <v>605</v>
      </c>
      <c r="M60" s="67">
        <v>605</v>
      </c>
      <c r="N60" s="67">
        <v>605</v>
      </c>
      <c r="O60" s="67">
        <v>605</v>
      </c>
      <c r="P60" s="67">
        <v>605</v>
      </c>
      <c r="Q60" s="68">
        <v>0</v>
      </c>
      <c r="R60" s="41"/>
      <c r="S60" s="59">
        <f t="shared" si="10"/>
        <v>7260</v>
      </c>
      <c r="T60" s="41"/>
    </row>
    <row r="61" spans="3:20" s="37" customFormat="1" ht="12" x14ac:dyDescent="0.2">
      <c r="C61" s="200">
        <v>6287</v>
      </c>
      <c r="D61" s="37" t="s">
        <v>227</v>
      </c>
      <c r="E61" s="67">
        <v>405</v>
      </c>
      <c r="F61" s="67">
        <v>405</v>
      </c>
      <c r="G61" s="67">
        <v>405</v>
      </c>
      <c r="H61" s="67">
        <v>405</v>
      </c>
      <c r="I61" s="67">
        <v>405</v>
      </c>
      <c r="J61" s="67">
        <v>405</v>
      </c>
      <c r="K61" s="67">
        <v>405</v>
      </c>
      <c r="L61" s="67">
        <v>405</v>
      </c>
      <c r="M61" s="67">
        <v>405</v>
      </c>
      <c r="N61" s="67">
        <v>405</v>
      </c>
      <c r="O61" s="67">
        <v>405</v>
      </c>
      <c r="P61" s="67">
        <v>405</v>
      </c>
      <c r="Q61" s="68">
        <v>0</v>
      </c>
      <c r="R61" s="41"/>
      <c r="S61" s="59">
        <f t="shared" si="10"/>
        <v>4860</v>
      </c>
      <c r="T61" s="41"/>
    </row>
    <row r="62" spans="3:20" s="37" customFormat="1" ht="12" x14ac:dyDescent="0.2">
      <c r="C62" s="38"/>
      <c r="E62" s="73">
        <f t="shared" ref="E62:Q62" si="11">SUBTOTAL(9,E43:E61)</f>
        <v>8614.0283333333318</v>
      </c>
      <c r="F62" s="73">
        <f t="shared" si="11"/>
        <v>8614.0283333333318</v>
      </c>
      <c r="G62" s="73">
        <f t="shared" si="11"/>
        <v>8614.0283333333318</v>
      </c>
      <c r="H62" s="73">
        <f t="shared" si="11"/>
        <v>8614.0283333333318</v>
      </c>
      <c r="I62" s="73">
        <f t="shared" si="11"/>
        <v>8614.0283333333318</v>
      </c>
      <c r="J62" s="73">
        <f t="shared" si="11"/>
        <v>8614.0283333333318</v>
      </c>
      <c r="K62" s="73">
        <f t="shared" si="11"/>
        <v>8614.0283333333318</v>
      </c>
      <c r="L62" s="73">
        <f t="shared" si="11"/>
        <v>8614.0283333333318</v>
      </c>
      <c r="M62" s="73">
        <f t="shared" si="11"/>
        <v>8614.0283333333318</v>
      </c>
      <c r="N62" s="73">
        <f t="shared" si="11"/>
        <v>8614.0283333333318</v>
      </c>
      <c r="O62" s="73">
        <f t="shared" si="11"/>
        <v>8614.0283333333318</v>
      </c>
      <c r="P62" s="73">
        <f t="shared" si="11"/>
        <v>8614.0283333333318</v>
      </c>
      <c r="Q62" s="73">
        <f t="shared" si="11"/>
        <v>0</v>
      </c>
      <c r="R62" s="41"/>
      <c r="S62" s="61">
        <f>SUBTOTAL(9,S43:S61)</f>
        <v>103368.33999999998</v>
      </c>
      <c r="T62" s="41"/>
    </row>
    <row r="63" spans="3:20" s="37" customFormat="1" ht="12" x14ac:dyDescent="0.2">
      <c r="C63" s="49" t="s">
        <v>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1"/>
      <c r="S63" s="59"/>
      <c r="T63" s="41"/>
    </row>
    <row r="64" spans="3:20" s="37" customFormat="1" ht="12" x14ac:dyDescent="0.2">
      <c r="C64" s="200">
        <v>6300</v>
      </c>
      <c r="D64" s="37" t="s">
        <v>9</v>
      </c>
      <c r="E64" s="67">
        <v>524.16666666666663</v>
      </c>
      <c r="F64" s="67">
        <v>524.16666666666663</v>
      </c>
      <c r="G64" s="67">
        <v>524.16666666666663</v>
      </c>
      <c r="H64" s="67">
        <v>524.16666666666663</v>
      </c>
      <c r="I64" s="67">
        <v>524.16666666666663</v>
      </c>
      <c r="J64" s="67">
        <v>524.16666666666663</v>
      </c>
      <c r="K64" s="67">
        <v>524.16666666666663</v>
      </c>
      <c r="L64" s="67">
        <v>524.16666666666663</v>
      </c>
      <c r="M64" s="67">
        <v>524.16666666666663</v>
      </c>
      <c r="N64" s="67">
        <v>524.16666666666663</v>
      </c>
      <c r="O64" s="67">
        <v>524.16666666666663</v>
      </c>
      <c r="P64" s="67">
        <v>524.16666666666663</v>
      </c>
      <c r="Q64" s="68">
        <v>0</v>
      </c>
      <c r="R64" s="41"/>
      <c r="S64" s="59">
        <f t="shared" ref="S64:S73" si="12">SUM(E64:Q64)</f>
        <v>6290.0000000000009</v>
      </c>
      <c r="T64" s="41"/>
    </row>
    <row r="65" spans="3:20" s="37" customFormat="1" ht="12" x14ac:dyDescent="0.2">
      <c r="C65" s="200">
        <v>6320</v>
      </c>
      <c r="D65" s="37" t="s">
        <v>10</v>
      </c>
      <c r="E65" s="67">
        <v>300</v>
      </c>
      <c r="F65" s="67">
        <v>300</v>
      </c>
      <c r="G65" s="67">
        <v>300</v>
      </c>
      <c r="H65" s="67">
        <v>300</v>
      </c>
      <c r="I65" s="67">
        <v>300</v>
      </c>
      <c r="J65" s="67">
        <v>300</v>
      </c>
      <c r="K65" s="67">
        <v>300</v>
      </c>
      <c r="L65" s="67">
        <v>300</v>
      </c>
      <c r="M65" s="67">
        <v>300</v>
      </c>
      <c r="N65" s="67">
        <v>300</v>
      </c>
      <c r="O65" s="67">
        <v>300</v>
      </c>
      <c r="P65" s="67">
        <v>300</v>
      </c>
      <c r="Q65" s="68">
        <v>0</v>
      </c>
      <c r="R65" s="41"/>
      <c r="S65" s="59">
        <f t="shared" si="12"/>
        <v>3600</v>
      </c>
      <c r="T65" s="41"/>
    </row>
    <row r="66" spans="3:20" s="37" customFormat="1" ht="12" x14ac:dyDescent="0.2">
      <c r="C66" s="200">
        <v>6331</v>
      </c>
      <c r="D66" s="37" t="s">
        <v>11</v>
      </c>
      <c r="E66" s="67">
        <v>166.66666666666666</v>
      </c>
      <c r="F66" s="67">
        <v>166.66666666666666</v>
      </c>
      <c r="G66" s="67">
        <v>166.66666666666666</v>
      </c>
      <c r="H66" s="67">
        <v>166.66666666666666</v>
      </c>
      <c r="I66" s="67">
        <v>166.66666666666666</v>
      </c>
      <c r="J66" s="67">
        <v>166.66666666666666</v>
      </c>
      <c r="K66" s="67">
        <v>166.66666666666666</v>
      </c>
      <c r="L66" s="67">
        <v>166.66666666666666</v>
      </c>
      <c r="M66" s="67">
        <v>166.66666666666666</v>
      </c>
      <c r="N66" s="67">
        <v>166.66666666666666</v>
      </c>
      <c r="O66" s="67">
        <v>166.66666666666666</v>
      </c>
      <c r="P66" s="67">
        <v>166.66666666666666</v>
      </c>
      <c r="Q66" s="68">
        <v>0</v>
      </c>
      <c r="R66" s="41"/>
      <c r="S66" s="59">
        <f t="shared" si="12"/>
        <v>2000.0000000000002</v>
      </c>
      <c r="T66" s="41"/>
    </row>
    <row r="67" spans="3:20" s="37" customFormat="1" ht="12" x14ac:dyDescent="0.2">
      <c r="C67" s="200">
        <v>6334</v>
      </c>
      <c r="D67" s="37" t="s">
        <v>12</v>
      </c>
      <c r="E67" s="67">
        <v>166.66666666666666</v>
      </c>
      <c r="F67" s="67">
        <v>166.66666666666666</v>
      </c>
      <c r="G67" s="67">
        <v>166.66666666666666</v>
      </c>
      <c r="H67" s="67">
        <v>166.66666666666666</v>
      </c>
      <c r="I67" s="67">
        <v>166.66666666666666</v>
      </c>
      <c r="J67" s="67">
        <v>166.66666666666666</v>
      </c>
      <c r="K67" s="67">
        <v>166.66666666666666</v>
      </c>
      <c r="L67" s="67">
        <v>166.66666666666666</v>
      </c>
      <c r="M67" s="67">
        <v>166.66666666666666</v>
      </c>
      <c r="N67" s="67">
        <v>166.66666666666666</v>
      </c>
      <c r="O67" s="67">
        <v>166.66666666666666</v>
      </c>
      <c r="P67" s="67">
        <v>166.66666666666666</v>
      </c>
      <c r="Q67" s="68">
        <v>0</v>
      </c>
      <c r="R67" s="41"/>
      <c r="S67" s="59">
        <f t="shared" si="12"/>
        <v>2000.0000000000002</v>
      </c>
      <c r="T67" s="41"/>
    </row>
    <row r="68" spans="3:20" s="37" customFormat="1" ht="12" x14ac:dyDescent="0.2">
      <c r="C68" s="200">
        <v>6336</v>
      </c>
      <c r="D68" s="37" t="s">
        <v>13</v>
      </c>
      <c r="E68" s="67">
        <v>62.5</v>
      </c>
      <c r="F68" s="67">
        <v>62.5</v>
      </c>
      <c r="G68" s="67">
        <v>62.5</v>
      </c>
      <c r="H68" s="67">
        <v>62.5</v>
      </c>
      <c r="I68" s="67">
        <v>62.5</v>
      </c>
      <c r="J68" s="67">
        <v>62.5</v>
      </c>
      <c r="K68" s="67">
        <v>62.5</v>
      </c>
      <c r="L68" s="67">
        <v>62.5</v>
      </c>
      <c r="M68" s="67">
        <v>62.5</v>
      </c>
      <c r="N68" s="67">
        <v>62.5</v>
      </c>
      <c r="O68" s="67">
        <v>62.5</v>
      </c>
      <c r="P68" s="67">
        <v>62.5</v>
      </c>
      <c r="Q68" s="68">
        <v>0</v>
      </c>
      <c r="R68" s="41"/>
      <c r="S68" s="59">
        <f t="shared" si="12"/>
        <v>750</v>
      </c>
      <c r="T68" s="41"/>
    </row>
    <row r="69" spans="3:20" s="37" customFormat="1" ht="12" x14ac:dyDescent="0.2">
      <c r="C69" s="200">
        <v>6337</v>
      </c>
      <c r="D69" s="37" t="s">
        <v>14</v>
      </c>
      <c r="E69" s="67">
        <v>83.333333333333329</v>
      </c>
      <c r="F69" s="67">
        <v>83.333333333333329</v>
      </c>
      <c r="G69" s="67">
        <v>83.333333333333329</v>
      </c>
      <c r="H69" s="67">
        <v>83.333333333333329</v>
      </c>
      <c r="I69" s="67">
        <v>83.333333333333329</v>
      </c>
      <c r="J69" s="67">
        <v>83.333333333333329</v>
      </c>
      <c r="K69" s="67">
        <v>83.333333333333329</v>
      </c>
      <c r="L69" s="67">
        <v>83.333333333333329</v>
      </c>
      <c r="M69" s="67">
        <v>83.333333333333329</v>
      </c>
      <c r="N69" s="67">
        <v>83.333333333333329</v>
      </c>
      <c r="O69" s="67">
        <v>83.333333333333329</v>
      </c>
      <c r="P69" s="67">
        <v>83.333333333333329</v>
      </c>
      <c r="Q69" s="68">
        <v>0</v>
      </c>
      <c r="R69" s="41"/>
      <c r="S69" s="59">
        <f t="shared" si="12"/>
        <v>1000.0000000000001</v>
      </c>
      <c r="T69" s="41"/>
    </row>
    <row r="70" spans="3:20" s="37" customFormat="1" ht="12" x14ac:dyDescent="0.2">
      <c r="C70" s="200">
        <v>6340</v>
      </c>
      <c r="D70" s="37" t="s">
        <v>15</v>
      </c>
      <c r="E70" s="67">
        <v>3880.8333333333335</v>
      </c>
      <c r="F70" s="67">
        <v>3880.8333333333335</v>
      </c>
      <c r="G70" s="67">
        <v>3880.8333333333335</v>
      </c>
      <c r="H70" s="67">
        <v>3880.8333333333335</v>
      </c>
      <c r="I70" s="67">
        <v>3880.8333333333335</v>
      </c>
      <c r="J70" s="67">
        <v>3880.8333333333335</v>
      </c>
      <c r="K70" s="67">
        <v>3880.8333333333335</v>
      </c>
      <c r="L70" s="67">
        <v>3880.8333333333335</v>
      </c>
      <c r="M70" s="67">
        <v>3880.8333333333335</v>
      </c>
      <c r="N70" s="67">
        <v>3880.8333333333335</v>
      </c>
      <c r="O70" s="67">
        <v>3880.8333333333335</v>
      </c>
      <c r="P70" s="67">
        <v>3880.8333333333335</v>
      </c>
      <c r="Q70" s="68">
        <v>0</v>
      </c>
      <c r="R70" s="41"/>
      <c r="S70" s="59">
        <f t="shared" si="12"/>
        <v>46570.000000000007</v>
      </c>
      <c r="T70" s="41"/>
    </row>
    <row r="71" spans="3:20" s="37" customFormat="1" ht="12" x14ac:dyDescent="0.2">
      <c r="C71" s="200">
        <v>6345</v>
      </c>
      <c r="D71" s="37" t="s">
        <v>16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8">
        <v>0</v>
      </c>
      <c r="R71" s="41"/>
      <c r="S71" s="59">
        <f t="shared" si="12"/>
        <v>0</v>
      </c>
      <c r="T71" s="41"/>
    </row>
    <row r="72" spans="3:20" s="37" customFormat="1" ht="12" x14ac:dyDescent="0.2">
      <c r="C72" s="200">
        <v>6350</v>
      </c>
      <c r="D72" s="37" t="s">
        <v>17</v>
      </c>
      <c r="E72" s="67">
        <v>416.66666666666669</v>
      </c>
      <c r="F72" s="67">
        <v>416.66666666666669</v>
      </c>
      <c r="G72" s="67">
        <v>416.66666666666669</v>
      </c>
      <c r="H72" s="67">
        <v>416.66666666666669</v>
      </c>
      <c r="I72" s="67">
        <v>416.66666666666669</v>
      </c>
      <c r="J72" s="67">
        <v>416.66666666666669</v>
      </c>
      <c r="K72" s="67">
        <v>416.66666666666669</v>
      </c>
      <c r="L72" s="67">
        <v>416.66666666666669</v>
      </c>
      <c r="M72" s="67">
        <v>416.66666666666669</v>
      </c>
      <c r="N72" s="67">
        <v>416.66666666666669</v>
      </c>
      <c r="O72" s="67">
        <v>416.66666666666669</v>
      </c>
      <c r="P72" s="67">
        <v>416.66666666666669</v>
      </c>
      <c r="Q72" s="68">
        <v>0</v>
      </c>
      <c r="R72" s="41"/>
      <c r="S72" s="59">
        <f t="shared" si="12"/>
        <v>5000</v>
      </c>
      <c r="T72" s="41"/>
    </row>
    <row r="73" spans="3:20" s="37" customFormat="1" ht="12" x14ac:dyDescent="0.2">
      <c r="C73" s="200">
        <v>6351</v>
      </c>
      <c r="D73" s="37" t="s">
        <v>18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8">
        <v>0</v>
      </c>
      <c r="R73" s="41"/>
      <c r="S73" s="59">
        <f t="shared" si="12"/>
        <v>0</v>
      </c>
      <c r="T73" s="41"/>
    </row>
    <row r="74" spans="3:20" s="37" customFormat="1" ht="12" x14ac:dyDescent="0.2">
      <c r="C74" s="38"/>
      <c r="E74" s="73">
        <f>SUBTOTAL(9,E64:E73)</f>
        <v>5600.8333333333339</v>
      </c>
      <c r="F74" s="73">
        <f t="shared" ref="F74:S74" si="13">SUBTOTAL(9,F64:F73)</f>
        <v>5600.8333333333339</v>
      </c>
      <c r="G74" s="73">
        <f t="shared" si="13"/>
        <v>5600.8333333333339</v>
      </c>
      <c r="H74" s="73">
        <f t="shared" si="13"/>
        <v>5600.8333333333339</v>
      </c>
      <c r="I74" s="73">
        <f t="shared" si="13"/>
        <v>5600.8333333333339</v>
      </c>
      <c r="J74" s="73">
        <f t="shared" si="13"/>
        <v>5600.8333333333339</v>
      </c>
      <c r="K74" s="73">
        <f t="shared" si="13"/>
        <v>5600.8333333333339</v>
      </c>
      <c r="L74" s="73">
        <f t="shared" si="13"/>
        <v>5600.8333333333339</v>
      </c>
      <c r="M74" s="73">
        <f t="shared" si="13"/>
        <v>5600.8333333333339</v>
      </c>
      <c r="N74" s="73">
        <f t="shared" si="13"/>
        <v>5600.8333333333339</v>
      </c>
      <c r="O74" s="73">
        <f t="shared" si="13"/>
        <v>5600.8333333333339</v>
      </c>
      <c r="P74" s="73">
        <f t="shared" si="13"/>
        <v>5600.8333333333339</v>
      </c>
      <c r="Q74" s="73">
        <f t="shared" si="13"/>
        <v>0</v>
      </c>
      <c r="R74" s="41"/>
      <c r="S74" s="61">
        <f t="shared" si="13"/>
        <v>67210</v>
      </c>
      <c r="T74" s="41"/>
    </row>
    <row r="75" spans="3:20" s="37" customFormat="1" ht="12" x14ac:dyDescent="0.2">
      <c r="C75" s="49" t="s">
        <v>100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41"/>
      <c r="S75" s="59"/>
      <c r="T75" s="41"/>
    </row>
    <row r="76" spans="3:20" s="37" customFormat="1" ht="12" x14ac:dyDescent="0.2">
      <c r="C76" s="200">
        <v>6410</v>
      </c>
      <c r="D76" s="37" t="s">
        <v>19</v>
      </c>
      <c r="E76" s="67">
        <v>225</v>
      </c>
      <c r="F76" s="67">
        <v>225</v>
      </c>
      <c r="G76" s="67">
        <v>225</v>
      </c>
      <c r="H76" s="67">
        <v>225</v>
      </c>
      <c r="I76" s="67">
        <v>225</v>
      </c>
      <c r="J76" s="67">
        <v>225</v>
      </c>
      <c r="K76" s="67">
        <v>225</v>
      </c>
      <c r="L76" s="67">
        <v>225</v>
      </c>
      <c r="M76" s="67">
        <v>225</v>
      </c>
      <c r="N76" s="67">
        <v>225</v>
      </c>
      <c r="O76" s="67">
        <v>225</v>
      </c>
      <c r="P76" s="67">
        <v>225</v>
      </c>
      <c r="Q76" s="68">
        <v>0</v>
      </c>
      <c r="R76" s="41"/>
      <c r="S76" s="59">
        <f t="shared" ref="S76:S79" si="14">SUM(E76:Q76)</f>
        <v>2700</v>
      </c>
      <c r="T76" s="41"/>
    </row>
    <row r="77" spans="3:20" s="37" customFormat="1" ht="12" x14ac:dyDescent="0.2">
      <c r="C77" s="200">
        <v>6420</v>
      </c>
      <c r="D77" s="37" t="s">
        <v>20</v>
      </c>
      <c r="E77" s="67">
        <v>1123.3333333333333</v>
      </c>
      <c r="F77" s="67">
        <v>1123.3333333333333</v>
      </c>
      <c r="G77" s="67">
        <v>1123.3333333333333</v>
      </c>
      <c r="H77" s="67">
        <v>1123.3333333333333</v>
      </c>
      <c r="I77" s="67">
        <v>1123.3333333333333</v>
      </c>
      <c r="J77" s="67">
        <v>1123.3333333333333</v>
      </c>
      <c r="K77" s="67">
        <v>1123.3333333333333</v>
      </c>
      <c r="L77" s="67">
        <v>1123.3333333333333</v>
      </c>
      <c r="M77" s="67">
        <v>1123.3333333333333</v>
      </c>
      <c r="N77" s="67">
        <v>1123.3333333333333</v>
      </c>
      <c r="O77" s="67">
        <v>1123.3333333333333</v>
      </c>
      <c r="P77" s="67">
        <v>1123.3333333333333</v>
      </c>
      <c r="Q77" s="68">
        <v>0</v>
      </c>
      <c r="R77" s="41"/>
      <c r="S77" s="59">
        <f t="shared" si="14"/>
        <v>13480.000000000002</v>
      </c>
      <c r="T77" s="41"/>
    </row>
    <row r="78" spans="3:20" s="37" customFormat="1" ht="12" x14ac:dyDescent="0.2">
      <c r="C78" s="200">
        <v>6430</v>
      </c>
      <c r="D78" s="37" t="s">
        <v>21</v>
      </c>
      <c r="E78" s="67">
        <v>615</v>
      </c>
      <c r="F78" s="67">
        <v>615</v>
      </c>
      <c r="G78" s="67">
        <v>615</v>
      </c>
      <c r="H78" s="67">
        <v>615</v>
      </c>
      <c r="I78" s="67">
        <v>615</v>
      </c>
      <c r="J78" s="67">
        <v>615</v>
      </c>
      <c r="K78" s="67">
        <v>615</v>
      </c>
      <c r="L78" s="67">
        <v>615</v>
      </c>
      <c r="M78" s="67">
        <v>615</v>
      </c>
      <c r="N78" s="67">
        <v>615</v>
      </c>
      <c r="O78" s="67">
        <v>615</v>
      </c>
      <c r="P78" s="67">
        <v>615</v>
      </c>
      <c r="Q78" s="68">
        <v>0</v>
      </c>
      <c r="R78" s="41"/>
      <c r="S78" s="59">
        <f t="shared" si="14"/>
        <v>7380</v>
      </c>
      <c r="T78" s="41"/>
    </row>
    <row r="79" spans="3:20" s="37" customFormat="1" ht="12" x14ac:dyDescent="0.2">
      <c r="C79" s="200">
        <v>6441</v>
      </c>
      <c r="D79" s="37" t="s">
        <v>22</v>
      </c>
      <c r="E79" s="67">
        <v>9023.3333333333339</v>
      </c>
      <c r="F79" s="67">
        <v>9023.3333333333339</v>
      </c>
      <c r="G79" s="67">
        <v>9023.3333333333339</v>
      </c>
      <c r="H79" s="67">
        <v>9023.3333333333339</v>
      </c>
      <c r="I79" s="67">
        <v>9023.3333333333339</v>
      </c>
      <c r="J79" s="67">
        <v>9023.3333333333339</v>
      </c>
      <c r="K79" s="67">
        <v>9023.3333333333339</v>
      </c>
      <c r="L79" s="67">
        <v>9023.3333333333339</v>
      </c>
      <c r="M79" s="67">
        <v>9023.3333333333339</v>
      </c>
      <c r="N79" s="67">
        <v>9023.3333333333339</v>
      </c>
      <c r="O79" s="67">
        <v>9023.3333333333339</v>
      </c>
      <c r="P79" s="67">
        <v>9023.3333333333339</v>
      </c>
      <c r="Q79" s="68">
        <v>0</v>
      </c>
      <c r="R79" s="41"/>
      <c r="S79" s="59">
        <f t="shared" si="14"/>
        <v>108279.99999999999</v>
      </c>
      <c r="T79" s="41"/>
    </row>
    <row r="80" spans="3:20" s="37" customFormat="1" ht="12" x14ac:dyDescent="0.2">
      <c r="C80" s="38"/>
      <c r="E80" s="73">
        <f>SUBTOTAL(9,E76:E79)</f>
        <v>10986.666666666668</v>
      </c>
      <c r="F80" s="73">
        <f t="shared" ref="F80:S80" si="15">SUBTOTAL(9,F76:F79)</f>
        <v>10986.666666666668</v>
      </c>
      <c r="G80" s="73">
        <f t="shared" si="15"/>
        <v>10986.666666666668</v>
      </c>
      <c r="H80" s="73">
        <f t="shared" si="15"/>
        <v>10986.666666666668</v>
      </c>
      <c r="I80" s="73">
        <f t="shared" si="15"/>
        <v>10986.666666666668</v>
      </c>
      <c r="J80" s="73">
        <f t="shared" si="15"/>
        <v>10986.666666666668</v>
      </c>
      <c r="K80" s="73">
        <f t="shared" si="15"/>
        <v>10986.666666666668</v>
      </c>
      <c r="L80" s="73">
        <f t="shared" si="15"/>
        <v>10986.666666666668</v>
      </c>
      <c r="M80" s="73">
        <f t="shared" si="15"/>
        <v>10986.666666666668</v>
      </c>
      <c r="N80" s="73">
        <f t="shared" si="15"/>
        <v>10986.666666666668</v>
      </c>
      <c r="O80" s="73">
        <f t="shared" si="15"/>
        <v>10986.666666666668</v>
      </c>
      <c r="P80" s="73">
        <f t="shared" si="15"/>
        <v>10986.666666666668</v>
      </c>
      <c r="Q80" s="73">
        <f t="shared" si="15"/>
        <v>0</v>
      </c>
      <c r="R80" s="41"/>
      <c r="S80" s="61">
        <f t="shared" si="15"/>
        <v>131840</v>
      </c>
      <c r="T80" s="41"/>
    </row>
    <row r="81" spans="3:20" s="37" customFormat="1" ht="12" x14ac:dyDescent="0.2">
      <c r="C81" s="49" t="s">
        <v>101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1"/>
      <c r="S81" s="59"/>
      <c r="T81" s="41"/>
    </row>
    <row r="82" spans="3:20" s="37" customFormat="1" ht="12" x14ac:dyDescent="0.2">
      <c r="C82" s="200">
        <v>6519</v>
      </c>
      <c r="D82" s="37" t="s">
        <v>234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8">
        <v>0</v>
      </c>
      <c r="R82" s="41"/>
      <c r="S82" s="59">
        <f t="shared" ref="S82:S93" si="16">SUM(E82:Q82)</f>
        <v>0</v>
      </c>
      <c r="T82" s="41"/>
    </row>
    <row r="83" spans="3:20" s="37" customFormat="1" ht="12" x14ac:dyDescent="0.2">
      <c r="C83" s="200">
        <v>6521</v>
      </c>
      <c r="D83" s="37" t="s">
        <v>24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8">
        <v>0</v>
      </c>
      <c r="R83" s="41"/>
      <c r="S83" s="59">
        <f t="shared" si="16"/>
        <v>0</v>
      </c>
      <c r="T83" s="41"/>
    </row>
    <row r="84" spans="3:20" s="37" customFormat="1" ht="12" x14ac:dyDescent="0.2">
      <c r="C84" s="200">
        <v>6522</v>
      </c>
      <c r="D84" s="37" t="s">
        <v>25</v>
      </c>
      <c r="E84" s="67">
        <v>291.66666666666669</v>
      </c>
      <c r="F84" s="67">
        <v>291.66666666666669</v>
      </c>
      <c r="G84" s="67">
        <v>291.66666666666669</v>
      </c>
      <c r="H84" s="67">
        <v>291.66666666666669</v>
      </c>
      <c r="I84" s="67">
        <v>291.66666666666669</v>
      </c>
      <c r="J84" s="67">
        <v>291.66666666666669</v>
      </c>
      <c r="K84" s="67">
        <v>291.66666666666669</v>
      </c>
      <c r="L84" s="67">
        <v>291.66666666666669</v>
      </c>
      <c r="M84" s="67">
        <v>291.66666666666669</v>
      </c>
      <c r="N84" s="67">
        <v>291.66666666666669</v>
      </c>
      <c r="O84" s="67">
        <v>291.66666666666669</v>
      </c>
      <c r="P84" s="67">
        <v>291.66666666666669</v>
      </c>
      <c r="Q84" s="68">
        <v>0</v>
      </c>
      <c r="R84" s="41"/>
      <c r="S84" s="59">
        <f t="shared" si="16"/>
        <v>3499.9999999999995</v>
      </c>
      <c r="T84" s="41"/>
    </row>
    <row r="85" spans="3:20" s="37" customFormat="1" ht="12" x14ac:dyDescent="0.2">
      <c r="C85" s="200">
        <v>6523</v>
      </c>
      <c r="D85" s="37" t="s">
        <v>26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8">
        <v>0</v>
      </c>
      <c r="R85" s="41"/>
      <c r="S85" s="59">
        <f t="shared" si="16"/>
        <v>0</v>
      </c>
      <c r="T85" s="41"/>
    </row>
    <row r="86" spans="3:20" s="37" customFormat="1" ht="12" x14ac:dyDescent="0.2">
      <c r="C86" s="200">
        <v>6531</v>
      </c>
      <c r="D86" s="37" t="s">
        <v>27</v>
      </c>
      <c r="E86" s="67">
        <v>95</v>
      </c>
      <c r="F86" s="67">
        <v>95</v>
      </c>
      <c r="G86" s="67">
        <v>95</v>
      </c>
      <c r="H86" s="67">
        <v>95</v>
      </c>
      <c r="I86" s="67">
        <v>95</v>
      </c>
      <c r="J86" s="67">
        <v>95</v>
      </c>
      <c r="K86" s="67">
        <v>95</v>
      </c>
      <c r="L86" s="67">
        <v>95</v>
      </c>
      <c r="M86" s="67">
        <v>95</v>
      </c>
      <c r="N86" s="67">
        <v>95</v>
      </c>
      <c r="O86" s="67">
        <v>95</v>
      </c>
      <c r="P86" s="67">
        <v>95</v>
      </c>
      <c r="Q86" s="68">
        <v>0</v>
      </c>
      <c r="R86" s="41"/>
      <c r="S86" s="59">
        <f t="shared" si="16"/>
        <v>1140</v>
      </c>
      <c r="T86" s="41"/>
    </row>
    <row r="87" spans="3:20" s="37" customFormat="1" ht="12" x14ac:dyDescent="0.2">
      <c r="C87" s="200">
        <v>6534</v>
      </c>
      <c r="D87" s="37" t="s">
        <v>28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8">
        <v>0</v>
      </c>
      <c r="R87" s="41"/>
      <c r="S87" s="59">
        <f t="shared" si="16"/>
        <v>0</v>
      </c>
      <c r="T87" s="41"/>
    </row>
    <row r="88" spans="3:20" s="37" customFormat="1" ht="12" x14ac:dyDescent="0.2">
      <c r="C88" s="200">
        <v>6535</v>
      </c>
      <c r="D88" s="37" t="s">
        <v>235</v>
      </c>
      <c r="E88" s="67">
        <v>144</v>
      </c>
      <c r="F88" s="67">
        <v>144</v>
      </c>
      <c r="G88" s="67">
        <v>144</v>
      </c>
      <c r="H88" s="67">
        <v>144</v>
      </c>
      <c r="I88" s="67">
        <v>144</v>
      </c>
      <c r="J88" s="67">
        <v>144</v>
      </c>
      <c r="K88" s="67">
        <v>144</v>
      </c>
      <c r="L88" s="67">
        <v>144</v>
      </c>
      <c r="M88" s="67">
        <v>144</v>
      </c>
      <c r="N88" s="67">
        <v>144</v>
      </c>
      <c r="O88" s="67">
        <v>144</v>
      </c>
      <c r="P88" s="67">
        <v>144</v>
      </c>
      <c r="Q88" s="68">
        <v>0</v>
      </c>
      <c r="R88" s="41"/>
      <c r="S88" s="59">
        <f t="shared" si="16"/>
        <v>1728</v>
      </c>
      <c r="T88" s="41"/>
    </row>
    <row r="89" spans="3:20" s="37" customFormat="1" ht="12" x14ac:dyDescent="0.2">
      <c r="C89" s="200">
        <v>6540</v>
      </c>
      <c r="D89" s="37" t="s">
        <v>30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8">
        <v>0</v>
      </c>
      <c r="R89" s="41"/>
      <c r="S89" s="59">
        <f t="shared" si="16"/>
        <v>0</v>
      </c>
      <c r="T89" s="41"/>
    </row>
    <row r="90" spans="3:20" s="37" customFormat="1" ht="12" x14ac:dyDescent="0.2">
      <c r="C90" s="200">
        <v>6550</v>
      </c>
      <c r="D90" s="37" t="s">
        <v>31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8">
        <v>0</v>
      </c>
      <c r="R90" s="41"/>
      <c r="S90" s="59">
        <f t="shared" si="16"/>
        <v>0</v>
      </c>
      <c r="T90" s="41"/>
    </row>
    <row r="91" spans="3:20" s="37" customFormat="1" ht="12" x14ac:dyDescent="0.2">
      <c r="C91" s="207">
        <v>6568</v>
      </c>
      <c r="D91" s="37" t="s">
        <v>186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8">
        <v>0</v>
      </c>
      <c r="R91" s="41"/>
      <c r="S91" s="59">
        <f t="shared" si="16"/>
        <v>0</v>
      </c>
      <c r="T91" s="41"/>
    </row>
    <row r="92" spans="3:20" s="37" customFormat="1" ht="12" x14ac:dyDescent="0.2">
      <c r="C92" s="200">
        <v>6569</v>
      </c>
      <c r="D92" s="37" t="s">
        <v>32</v>
      </c>
      <c r="E92" s="67">
        <v>54400</v>
      </c>
      <c r="F92" s="67">
        <v>54400</v>
      </c>
      <c r="G92" s="67">
        <v>54400</v>
      </c>
      <c r="H92" s="67">
        <v>54400</v>
      </c>
      <c r="I92" s="67">
        <v>54400</v>
      </c>
      <c r="J92" s="67">
        <v>54400</v>
      </c>
      <c r="K92" s="67">
        <v>54400</v>
      </c>
      <c r="L92" s="67">
        <v>54400</v>
      </c>
      <c r="M92" s="67">
        <v>54400</v>
      </c>
      <c r="N92" s="67">
        <v>54400</v>
      </c>
      <c r="O92" s="67">
        <v>54400</v>
      </c>
      <c r="P92" s="67">
        <v>54400</v>
      </c>
      <c r="Q92" s="68">
        <v>0</v>
      </c>
      <c r="R92" s="41"/>
      <c r="S92" s="59">
        <f t="shared" si="16"/>
        <v>652800</v>
      </c>
      <c r="T92" s="41"/>
    </row>
    <row r="93" spans="3:20" s="37" customFormat="1" ht="12" x14ac:dyDescent="0.2">
      <c r="C93" s="200">
        <v>6580</v>
      </c>
      <c r="D93" s="37" t="s">
        <v>33</v>
      </c>
      <c r="E93" s="67">
        <v>250</v>
      </c>
      <c r="F93" s="67">
        <v>250</v>
      </c>
      <c r="G93" s="67">
        <v>250</v>
      </c>
      <c r="H93" s="67">
        <v>250</v>
      </c>
      <c r="I93" s="67">
        <v>250</v>
      </c>
      <c r="J93" s="67">
        <v>250</v>
      </c>
      <c r="K93" s="67">
        <v>250</v>
      </c>
      <c r="L93" s="67">
        <v>250</v>
      </c>
      <c r="M93" s="67">
        <v>250</v>
      </c>
      <c r="N93" s="67">
        <v>250</v>
      </c>
      <c r="O93" s="67">
        <v>250</v>
      </c>
      <c r="P93" s="67">
        <v>250</v>
      </c>
      <c r="Q93" s="68">
        <v>0</v>
      </c>
      <c r="R93" s="41"/>
      <c r="S93" s="59">
        <f t="shared" si="16"/>
        <v>3000</v>
      </c>
      <c r="T93" s="41"/>
    </row>
    <row r="94" spans="3:20" s="37" customFormat="1" ht="12" x14ac:dyDescent="0.2">
      <c r="C94" s="38"/>
      <c r="E94" s="73">
        <f>SUBTOTAL(9,E82:E93)</f>
        <v>55180.666666666664</v>
      </c>
      <c r="F94" s="73">
        <f t="shared" ref="F94:P94" si="17">SUBTOTAL(9,F82:F93)</f>
        <v>55180.666666666664</v>
      </c>
      <c r="G94" s="73">
        <f t="shared" si="17"/>
        <v>55180.666666666664</v>
      </c>
      <c r="H94" s="73">
        <f t="shared" si="17"/>
        <v>55180.666666666664</v>
      </c>
      <c r="I94" s="73">
        <f t="shared" si="17"/>
        <v>55180.666666666664</v>
      </c>
      <c r="J94" s="73">
        <f t="shared" si="17"/>
        <v>55180.666666666664</v>
      </c>
      <c r="K94" s="73">
        <f t="shared" si="17"/>
        <v>55180.666666666664</v>
      </c>
      <c r="L94" s="73">
        <f t="shared" si="17"/>
        <v>55180.666666666664</v>
      </c>
      <c r="M94" s="73">
        <f t="shared" si="17"/>
        <v>55180.666666666664</v>
      </c>
      <c r="N94" s="73">
        <f t="shared" si="17"/>
        <v>55180.666666666664</v>
      </c>
      <c r="O94" s="73">
        <f t="shared" si="17"/>
        <v>55180.666666666664</v>
      </c>
      <c r="P94" s="73">
        <f t="shared" si="17"/>
        <v>55180.666666666664</v>
      </c>
      <c r="Q94" s="73">
        <f>SUBTOTAL(9,Q82:Q93)</f>
        <v>0</v>
      </c>
      <c r="R94" s="41"/>
      <c r="S94" s="61">
        <f>SUBTOTAL(9,S82:S93)</f>
        <v>662168</v>
      </c>
      <c r="T94" s="41"/>
    </row>
    <row r="95" spans="3:20" s="37" customFormat="1" ht="12" x14ac:dyDescent="0.2">
      <c r="C95" s="49" t="s">
        <v>102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41"/>
      <c r="S95" s="59"/>
      <c r="T95" s="41"/>
    </row>
    <row r="96" spans="3:20" s="37" customFormat="1" ht="12" x14ac:dyDescent="0.2">
      <c r="C96" s="200">
        <v>6610</v>
      </c>
      <c r="D96" s="37" t="s">
        <v>34</v>
      </c>
      <c r="E96" s="67">
        <v>810</v>
      </c>
      <c r="F96" s="67">
        <v>810</v>
      </c>
      <c r="G96" s="67">
        <v>810</v>
      </c>
      <c r="H96" s="67">
        <v>810</v>
      </c>
      <c r="I96" s="67">
        <v>810</v>
      </c>
      <c r="J96" s="67">
        <v>810</v>
      </c>
      <c r="K96" s="67">
        <v>810</v>
      </c>
      <c r="L96" s="67">
        <v>810</v>
      </c>
      <c r="M96" s="67">
        <v>810</v>
      </c>
      <c r="N96" s="67">
        <v>810</v>
      </c>
      <c r="O96" s="67">
        <v>810</v>
      </c>
      <c r="P96" s="67">
        <v>810</v>
      </c>
      <c r="Q96" s="68">
        <v>0</v>
      </c>
      <c r="R96" s="41"/>
      <c r="S96" s="59">
        <f t="shared" ref="S96:S102" si="18">SUM(E96:Q96)</f>
        <v>9720</v>
      </c>
      <c r="T96" s="41"/>
    </row>
    <row r="97" spans="3:20" s="37" customFormat="1" ht="12" x14ac:dyDescent="0.2">
      <c r="C97" s="200">
        <v>6612</v>
      </c>
      <c r="D97" s="37" t="s">
        <v>35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41"/>
      <c r="S97" s="59">
        <f t="shared" si="18"/>
        <v>0</v>
      </c>
      <c r="T97" s="41"/>
    </row>
    <row r="98" spans="3:20" s="37" customFormat="1" ht="12" x14ac:dyDescent="0.2">
      <c r="C98" s="200">
        <v>6622</v>
      </c>
      <c r="D98" s="37" t="s">
        <v>36</v>
      </c>
      <c r="E98" s="67">
        <v>800</v>
      </c>
      <c r="F98" s="67">
        <v>800</v>
      </c>
      <c r="G98" s="67">
        <v>800</v>
      </c>
      <c r="H98" s="67">
        <v>800</v>
      </c>
      <c r="I98" s="67">
        <v>800</v>
      </c>
      <c r="J98" s="67">
        <v>800</v>
      </c>
      <c r="K98" s="67">
        <v>800</v>
      </c>
      <c r="L98" s="67">
        <v>800</v>
      </c>
      <c r="M98" s="67">
        <v>800</v>
      </c>
      <c r="N98" s="67">
        <v>800</v>
      </c>
      <c r="O98" s="67">
        <v>800</v>
      </c>
      <c r="P98" s="67">
        <v>800</v>
      </c>
      <c r="Q98" s="68">
        <v>0</v>
      </c>
      <c r="R98" s="41"/>
      <c r="S98" s="59">
        <f t="shared" si="18"/>
        <v>9600</v>
      </c>
      <c r="T98" s="41"/>
    </row>
    <row r="99" spans="3:20" s="37" customFormat="1" ht="12" x14ac:dyDescent="0.2">
      <c r="C99" s="200">
        <v>6641</v>
      </c>
      <c r="D99" s="37" t="s">
        <v>37</v>
      </c>
      <c r="E99" s="67">
        <v>6733.333333333333</v>
      </c>
      <c r="F99" s="67">
        <v>6733.333333333333</v>
      </c>
      <c r="G99" s="67">
        <v>6733.333333333333</v>
      </c>
      <c r="H99" s="67">
        <v>6733.333333333333</v>
      </c>
      <c r="I99" s="67">
        <v>6733.333333333333</v>
      </c>
      <c r="J99" s="67">
        <v>6733.333333333333</v>
      </c>
      <c r="K99" s="67">
        <v>6733.333333333333</v>
      </c>
      <c r="L99" s="67">
        <v>6733.333333333333</v>
      </c>
      <c r="M99" s="67">
        <v>6733.333333333333</v>
      </c>
      <c r="N99" s="67">
        <v>6733.333333333333</v>
      </c>
      <c r="O99" s="67">
        <v>6733.333333333333</v>
      </c>
      <c r="P99" s="67">
        <v>6733.333333333333</v>
      </c>
      <c r="Q99" s="68">
        <v>0</v>
      </c>
      <c r="R99" s="41"/>
      <c r="S99" s="59">
        <f t="shared" si="18"/>
        <v>80800</v>
      </c>
      <c r="T99" s="41"/>
    </row>
    <row r="100" spans="3:20" s="37" customFormat="1" ht="12" x14ac:dyDescent="0.2">
      <c r="C100" s="200">
        <v>6642</v>
      </c>
      <c r="D100" s="37" t="s">
        <v>38</v>
      </c>
      <c r="E100" s="67">
        <v>4816.666666666667</v>
      </c>
      <c r="F100" s="67">
        <v>4816.666666666667</v>
      </c>
      <c r="G100" s="67">
        <v>4816.666666666667</v>
      </c>
      <c r="H100" s="67">
        <v>4816.666666666667</v>
      </c>
      <c r="I100" s="67">
        <v>4816.666666666667</v>
      </c>
      <c r="J100" s="67">
        <v>4816.666666666667</v>
      </c>
      <c r="K100" s="67">
        <v>4816.666666666667</v>
      </c>
      <c r="L100" s="67">
        <v>4816.666666666667</v>
      </c>
      <c r="M100" s="67">
        <v>4816.666666666667</v>
      </c>
      <c r="N100" s="67">
        <v>4816.666666666667</v>
      </c>
      <c r="O100" s="67">
        <v>4816.666666666667</v>
      </c>
      <c r="P100" s="67">
        <v>4816.666666666667</v>
      </c>
      <c r="Q100" s="68">
        <v>0</v>
      </c>
      <c r="R100" s="41"/>
      <c r="S100" s="59">
        <f t="shared" si="18"/>
        <v>57799.999999999993</v>
      </c>
      <c r="T100" s="41"/>
    </row>
    <row r="101" spans="3:20" s="37" customFormat="1" ht="12" x14ac:dyDescent="0.2">
      <c r="C101" s="200">
        <v>6651</v>
      </c>
      <c r="D101" s="37" t="s">
        <v>39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8">
        <v>0</v>
      </c>
      <c r="R101" s="41"/>
      <c r="S101" s="59">
        <f t="shared" si="18"/>
        <v>0</v>
      </c>
      <c r="T101" s="41"/>
    </row>
    <row r="102" spans="3:20" s="37" customFormat="1" ht="12" x14ac:dyDescent="0.2">
      <c r="C102" s="200">
        <v>6652</v>
      </c>
      <c r="D102" s="37" t="s">
        <v>40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8">
        <v>0</v>
      </c>
      <c r="R102" s="41"/>
      <c r="S102" s="59">
        <f t="shared" si="18"/>
        <v>0</v>
      </c>
      <c r="T102" s="41"/>
    </row>
    <row r="103" spans="3:20" s="37" customFormat="1" ht="12" x14ac:dyDescent="0.2">
      <c r="C103" s="38"/>
      <c r="E103" s="73">
        <f>SUBTOTAL(9,E96:E102)</f>
        <v>13160</v>
      </c>
      <c r="F103" s="73">
        <f t="shared" ref="F103:S103" si="19">SUBTOTAL(9,F96:F102)</f>
        <v>13160</v>
      </c>
      <c r="G103" s="73">
        <f t="shared" si="19"/>
        <v>13160</v>
      </c>
      <c r="H103" s="73">
        <f t="shared" si="19"/>
        <v>13160</v>
      </c>
      <c r="I103" s="73">
        <f t="shared" si="19"/>
        <v>13160</v>
      </c>
      <c r="J103" s="73">
        <f t="shared" si="19"/>
        <v>13160</v>
      </c>
      <c r="K103" s="73">
        <f t="shared" si="19"/>
        <v>13160</v>
      </c>
      <c r="L103" s="73">
        <f t="shared" si="19"/>
        <v>13160</v>
      </c>
      <c r="M103" s="73">
        <f t="shared" si="19"/>
        <v>13160</v>
      </c>
      <c r="N103" s="73">
        <f t="shared" si="19"/>
        <v>13160</v>
      </c>
      <c r="O103" s="73">
        <f t="shared" si="19"/>
        <v>13160</v>
      </c>
      <c r="P103" s="73">
        <f t="shared" si="19"/>
        <v>13160</v>
      </c>
      <c r="Q103" s="73">
        <f t="shared" si="19"/>
        <v>0</v>
      </c>
      <c r="R103" s="41"/>
      <c r="S103" s="61">
        <f t="shared" si="19"/>
        <v>157920</v>
      </c>
      <c r="T103" s="41"/>
    </row>
    <row r="104" spans="3:20" s="37" customFormat="1" ht="12" x14ac:dyDescent="0.2">
      <c r="C104" s="49" t="s">
        <v>103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41"/>
      <c r="S104" s="59"/>
      <c r="T104" s="41"/>
    </row>
    <row r="105" spans="3:20" s="37" customFormat="1" ht="12" x14ac:dyDescent="0.2">
      <c r="C105" s="200">
        <v>6734</v>
      </c>
      <c r="D105" s="37" t="s">
        <v>41</v>
      </c>
      <c r="E105" s="67">
        <f t="shared" ref="E105:P105" si="20">$U105/12</f>
        <v>0</v>
      </c>
      <c r="F105" s="67">
        <f t="shared" si="20"/>
        <v>0</v>
      </c>
      <c r="G105" s="67">
        <f t="shared" si="20"/>
        <v>0</v>
      </c>
      <c r="H105" s="67">
        <f t="shared" si="20"/>
        <v>0</v>
      </c>
      <c r="I105" s="67">
        <f t="shared" si="20"/>
        <v>0</v>
      </c>
      <c r="J105" s="67">
        <f t="shared" si="20"/>
        <v>0</v>
      </c>
      <c r="K105" s="67">
        <f t="shared" si="20"/>
        <v>0</v>
      </c>
      <c r="L105" s="67">
        <f t="shared" si="20"/>
        <v>0</v>
      </c>
      <c r="M105" s="67">
        <f t="shared" si="20"/>
        <v>0</v>
      </c>
      <c r="N105" s="67">
        <f t="shared" si="20"/>
        <v>0</v>
      </c>
      <c r="O105" s="67">
        <f t="shared" si="20"/>
        <v>0</v>
      </c>
      <c r="P105" s="67">
        <f t="shared" si="20"/>
        <v>0</v>
      </c>
      <c r="Q105" s="68">
        <v>0</v>
      </c>
      <c r="R105" s="41"/>
      <c r="S105" s="59">
        <f t="shared" ref="S105" si="21">SUM(E105:Q105)</f>
        <v>0</v>
      </c>
      <c r="T105" s="41"/>
    </row>
    <row r="106" spans="3:20" s="37" customFormat="1" ht="12" x14ac:dyDescent="0.2">
      <c r="C106" s="38"/>
      <c r="E106" s="73">
        <f>SUBTOTAL(9,E105)</f>
        <v>0</v>
      </c>
      <c r="F106" s="73">
        <f t="shared" ref="F106:S106" si="22">SUBTOTAL(9,F105)</f>
        <v>0</v>
      </c>
      <c r="G106" s="73">
        <f t="shared" si="22"/>
        <v>0</v>
      </c>
      <c r="H106" s="73">
        <f t="shared" si="22"/>
        <v>0</v>
      </c>
      <c r="I106" s="73">
        <f t="shared" si="22"/>
        <v>0</v>
      </c>
      <c r="J106" s="73">
        <f t="shared" si="22"/>
        <v>0</v>
      </c>
      <c r="K106" s="73">
        <f t="shared" si="22"/>
        <v>0</v>
      </c>
      <c r="L106" s="73">
        <f t="shared" si="22"/>
        <v>0</v>
      </c>
      <c r="M106" s="73">
        <f t="shared" si="22"/>
        <v>0</v>
      </c>
      <c r="N106" s="73">
        <f t="shared" si="22"/>
        <v>0</v>
      </c>
      <c r="O106" s="73">
        <f t="shared" si="22"/>
        <v>0</v>
      </c>
      <c r="P106" s="73">
        <f t="shared" si="22"/>
        <v>0</v>
      </c>
      <c r="Q106" s="73">
        <f t="shared" si="22"/>
        <v>0</v>
      </c>
      <c r="R106" s="41"/>
      <c r="S106" s="61">
        <f t="shared" si="22"/>
        <v>0</v>
      </c>
      <c r="T106" s="41"/>
    </row>
    <row r="107" spans="3:20" s="37" customFormat="1" ht="12" x14ac:dyDescent="0.2">
      <c r="C107" s="49" t="s">
        <v>104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41"/>
      <c r="S107" s="59"/>
      <c r="T107" s="41"/>
    </row>
    <row r="108" spans="3:20" s="37" customFormat="1" ht="12" x14ac:dyDescent="0.2">
      <c r="C108" s="200">
        <v>6810</v>
      </c>
      <c r="D108" s="37" t="s">
        <v>42</v>
      </c>
      <c r="E108" s="67">
        <v>222.33333333333334</v>
      </c>
      <c r="F108" s="67">
        <v>222.33333333333334</v>
      </c>
      <c r="G108" s="67">
        <v>222.33333333333334</v>
      </c>
      <c r="H108" s="67">
        <v>222.33333333333334</v>
      </c>
      <c r="I108" s="67">
        <v>222.33333333333334</v>
      </c>
      <c r="J108" s="67">
        <v>222.33333333333334</v>
      </c>
      <c r="K108" s="67">
        <v>222.33333333333334</v>
      </c>
      <c r="L108" s="67">
        <v>222.33333333333334</v>
      </c>
      <c r="M108" s="67">
        <v>222.33333333333334</v>
      </c>
      <c r="N108" s="67">
        <v>222.33333333333334</v>
      </c>
      <c r="O108" s="67">
        <v>222.33333333333334</v>
      </c>
      <c r="P108" s="67">
        <v>222.33333333333334</v>
      </c>
      <c r="Q108" s="68">
        <v>0</v>
      </c>
      <c r="R108" s="41"/>
      <c r="S108" s="59">
        <f t="shared" ref="S108" si="23">SUM(E108:Q108)</f>
        <v>2668</v>
      </c>
      <c r="T108" s="41"/>
    </row>
    <row r="109" spans="3:20" s="37" customFormat="1" ht="12" x14ac:dyDescent="0.2">
      <c r="C109" s="38"/>
      <c r="E109" s="73">
        <f>SUBTOTAL(9,E108)</f>
        <v>222.33333333333334</v>
      </c>
      <c r="F109" s="73">
        <f t="shared" ref="F109:Q109" si="24">SUBTOTAL(9,F108)</f>
        <v>222.33333333333334</v>
      </c>
      <c r="G109" s="73">
        <f t="shared" si="24"/>
        <v>222.33333333333334</v>
      </c>
      <c r="H109" s="73">
        <f t="shared" si="24"/>
        <v>222.33333333333334</v>
      </c>
      <c r="I109" s="73">
        <f t="shared" si="24"/>
        <v>222.33333333333334</v>
      </c>
      <c r="J109" s="73">
        <f t="shared" si="24"/>
        <v>222.33333333333334</v>
      </c>
      <c r="K109" s="73">
        <f t="shared" si="24"/>
        <v>222.33333333333334</v>
      </c>
      <c r="L109" s="73">
        <f t="shared" si="24"/>
        <v>222.33333333333334</v>
      </c>
      <c r="M109" s="73">
        <f t="shared" si="24"/>
        <v>222.33333333333334</v>
      </c>
      <c r="N109" s="73">
        <f t="shared" si="24"/>
        <v>222.33333333333334</v>
      </c>
      <c r="O109" s="73">
        <f t="shared" si="24"/>
        <v>222.33333333333334</v>
      </c>
      <c r="P109" s="73">
        <f t="shared" si="24"/>
        <v>222.33333333333334</v>
      </c>
      <c r="Q109" s="73">
        <f t="shared" si="24"/>
        <v>0</v>
      </c>
      <c r="R109" s="41"/>
      <c r="S109" s="61">
        <f t="shared" ref="S109" si="25">SUBTOTAL(9,S108)</f>
        <v>2668</v>
      </c>
      <c r="T109" s="41"/>
    </row>
    <row r="110" spans="3:20" s="45" customFormat="1" ht="12" x14ac:dyDescent="0.2">
      <c r="C110" s="49" t="s">
        <v>43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48"/>
      <c r="S110" s="62"/>
      <c r="T110" s="48"/>
    </row>
    <row r="111" spans="3:20" s="37" customFormat="1" ht="12" x14ac:dyDescent="0.2">
      <c r="C111" s="200">
        <v>7306</v>
      </c>
      <c r="D111" s="37" t="s">
        <v>43</v>
      </c>
      <c r="E111" s="67">
        <f t="shared" ref="E111:P112" si="26">$U111/12</f>
        <v>0</v>
      </c>
      <c r="F111" s="67">
        <f t="shared" si="26"/>
        <v>0</v>
      </c>
      <c r="G111" s="67">
        <f t="shared" si="26"/>
        <v>0</v>
      </c>
      <c r="H111" s="67">
        <f t="shared" si="26"/>
        <v>0</v>
      </c>
      <c r="I111" s="67">
        <f t="shared" si="26"/>
        <v>0</v>
      </c>
      <c r="J111" s="67">
        <f t="shared" si="26"/>
        <v>0</v>
      </c>
      <c r="K111" s="67">
        <f t="shared" si="26"/>
        <v>0</v>
      </c>
      <c r="L111" s="67">
        <f t="shared" si="26"/>
        <v>0</v>
      </c>
      <c r="M111" s="67">
        <f t="shared" si="26"/>
        <v>0</v>
      </c>
      <c r="N111" s="67">
        <f t="shared" si="26"/>
        <v>0</v>
      </c>
      <c r="O111" s="67">
        <f t="shared" si="26"/>
        <v>0</v>
      </c>
      <c r="P111" s="67">
        <f t="shared" si="26"/>
        <v>0</v>
      </c>
      <c r="Q111" s="68">
        <v>0</v>
      </c>
      <c r="R111" s="41"/>
      <c r="S111" s="62">
        <f t="shared" ref="S111:S112" si="27">SUM(E111:Q111)</f>
        <v>0</v>
      </c>
      <c r="T111" s="41"/>
    </row>
    <row r="112" spans="3:20" s="37" customFormat="1" ht="12" x14ac:dyDescent="0.2">
      <c r="C112" s="38">
        <v>7901</v>
      </c>
      <c r="D112" s="37" t="s">
        <v>177</v>
      </c>
      <c r="E112" s="67">
        <f t="shared" si="26"/>
        <v>0</v>
      </c>
      <c r="F112" s="67">
        <f t="shared" si="26"/>
        <v>0</v>
      </c>
      <c r="G112" s="67">
        <f t="shared" si="26"/>
        <v>0</v>
      </c>
      <c r="H112" s="67">
        <f t="shared" si="26"/>
        <v>0</v>
      </c>
      <c r="I112" s="67">
        <f t="shared" si="26"/>
        <v>0</v>
      </c>
      <c r="J112" s="67">
        <f t="shared" si="26"/>
        <v>0</v>
      </c>
      <c r="K112" s="67">
        <f t="shared" si="26"/>
        <v>0</v>
      </c>
      <c r="L112" s="67">
        <f t="shared" si="26"/>
        <v>0</v>
      </c>
      <c r="M112" s="67">
        <f t="shared" si="26"/>
        <v>0</v>
      </c>
      <c r="N112" s="67">
        <f t="shared" si="26"/>
        <v>0</v>
      </c>
      <c r="O112" s="67">
        <f t="shared" si="26"/>
        <v>0</v>
      </c>
      <c r="P112" s="67">
        <f t="shared" si="26"/>
        <v>0</v>
      </c>
      <c r="Q112" s="70">
        <v>0</v>
      </c>
      <c r="R112" s="41"/>
      <c r="S112" s="62">
        <f t="shared" si="27"/>
        <v>0</v>
      </c>
      <c r="T112" s="41"/>
    </row>
    <row r="113" spans="1:20" s="37" customFormat="1" ht="12" x14ac:dyDescent="0.2">
      <c r="C113" s="38"/>
      <c r="E113" s="73">
        <f>SUBTOTAL(9,E111:E112)</f>
        <v>0</v>
      </c>
      <c r="F113" s="73">
        <f t="shared" ref="F113:P113" si="28">SUBTOTAL(9,F111:F112)</f>
        <v>0</v>
      </c>
      <c r="G113" s="73">
        <f t="shared" si="28"/>
        <v>0</v>
      </c>
      <c r="H113" s="73">
        <f t="shared" si="28"/>
        <v>0</v>
      </c>
      <c r="I113" s="73">
        <f t="shared" si="28"/>
        <v>0</v>
      </c>
      <c r="J113" s="73">
        <f t="shared" si="28"/>
        <v>0</v>
      </c>
      <c r="K113" s="73">
        <f t="shared" si="28"/>
        <v>0</v>
      </c>
      <c r="L113" s="73">
        <f t="shared" si="28"/>
        <v>0</v>
      </c>
      <c r="M113" s="73">
        <f t="shared" si="28"/>
        <v>0</v>
      </c>
      <c r="N113" s="73">
        <f t="shared" si="28"/>
        <v>0</v>
      </c>
      <c r="O113" s="73">
        <f t="shared" si="28"/>
        <v>0</v>
      </c>
      <c r="P113" s="73">
        <f t="shared" si="28"/>
        <v>0</v>
      </c>
      <c r="Q113" s="73">
        <f>SUBTOTAL(9,Q111:Q112)</f>
        <v>0</v>
      </c>
      <c r="R113" s="41"/>
      <c r="S113" s="61">
        <f>SUBTOTAL(9,S111:S112)</f>
        <v>0</v>
      </c>
      <c r="T113" s="41"/>
    </row>
    <row r="114" spans="1:20" s="37" customFormat="1" ht="9" customHeight="1" x14ac:dyDescent="0.2">
      <c r="C114" s="3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41"/>
      <c r="S114" s="59"/>
      <c r="T114" s="41"/>
    </row>
    <row r="115" spans="1:20" s="45" customFormat="1" ht="12" x14ac:dyDescent="0.2">
      <c r="A115" s="45" t="s">
        <v>107</v>
      </c>
      <c r="C115" s="46"/>
      <c r="E115" s="71">
        <f t="shared" ref="E115:Q115" si="29">SUBTOTAL(9,E30:E114)</f>
        <v>123136.99375062731</v>
      </c>
      <c r="F115" s="71">
        <f t="shared" si="29"/>
        <v>123137.64158333333</v>
      </c>
      <c r="G115" s="71">
        <f t="shared" si="29"/>
        <v>123137.64158333333</v>
      </c>
      <c r="H115" s="71">
        <f t="shared" si="29"/>
        <v>123137.64158333333</v>
      </c>
      <c r="I115" s="71">
        <f t="shared" si="29"/>
        <v>123137.64158333333</v>
      </c>
      <c r="J115" s="71">
        <f t="shared" si="29"/>
        <v>123137.64158333333</v>
      </c>
      <c r="K115" s="71">
        <f t="shared" si="29"/>
        <v>123137.64158333333</v>
      </c>
      <c r="L115" s="71">
        <f t="shared" si="29"/>
        <v>123137.64158333333</v>
      </c>
      <c r="M115" s="71">
        <f t="shared" si="29"/>
        <v>123137.64158333333</v>
      </c>
      <c r="N115" s="71">
        <f t="shared" si="29"/>
        <v>123137.64158333333</v>
      </c>
      <c r="O115" s="71">
        <f t="shared" si="29"/>
        <v>123137.64158333333</v>
      </c>
      <c r="P115" s="71">
        <f t="shared" si="29"/>
        <v>123137.64158333333</v>
      </c>
      <c r="Q115" s="69">
        <f t="shared" si="29"/>
        <v>0</v>
      </c>
      <c r="R115" s="48"/>
      <c r="S115" s="60">
        <f>SUBTOTAL(9,S30:S114)</f>
        <v>1477651.0511672942</v>
      </c>
      <c r="T115" s="48"/>
    </row>
    <row r="116" spans="1:20" s="37" customFormat="1" ht="12" x14ac:dyDescent="0.2">
      <c r="C116" s="3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41"/>
      <c r="S116" s="59"/>
      <c r="T116" s="41"/>
    </row>
    <row r="117" spans="1:20" s="45" customFormat="1" ht="12.75" thickBot="1" x14ac:dyDescent="0.25">
      <c r="A117" s="45" t="s">
        <v>108</v>
      </c>
      <c r="C117" s="46"/>
      <c r="E117" s="194">
        <f t="shared" ref="E117:Q117" si="30">E27-E115</f>
        <v>9746.3395827060012</v>
      </c>
      <c r="F117" s="194">
        <f t="shared" si="30"/>
        <v>9745.6917499999836</v>
      </c>
      <c r="G117" s="194">
        <f t="shared" si="30"/>
        <v>9745.6917499999836</v>
      </c>
      <c r="H117" s="194">
        <f t="shared" si="30"/>
        <v>9745.6917499999836</v>
      </c>
      <c r="I117" s="194">
        <f t="shared" si="30"/>
        <v>9745.6917499999836</v>
      </c>
      <c r="J117" s="194">
        <f t="shared" si="30"/>
        <v>9745.6917499999836</v>
      </c>
      <c r="K117" s="194">
        <f t="shared" si="30"/>
        <v>9745.6917499999836</v>
      </c>
      <c r="L117" s="194">
        <f t="shared" si="30"/>
        <v>9745.6917499999836</v>
      </c>
      <c r="M117" s="194">
        <f t="shared" si="30"/>
        <v>9745.6917499999836</v>
      </c>
      <c r="N117" s="194">
        <f t="shared" si="30"/>
        <v>9745.6917499999836</v>
      </c>
      <c r="O117" s="194">
        <f t="shared" si="30"/>
        <v>9745.6917499999836</v>
      </c>
      <c r="P117" s="194">
        <f t="shared" si="30"/>
        <v>9745.6917499999836</v>
      </c>
      <c r="Q117" s="194">
        <f t="shared" si="30"/>
        <v>0</v>
      </c>
      <c r="R117" s="192"/>
      <c r="S117" s="664">
        <f>S27-S115</f>
        <v>116948.94883270585</v>
      </c>
      <c r="T117" s="192"/>
    </row>
    <row r="118" spans="1:20" s="37" customFormat="1" ht="12.75" thickTop="1" x14ac:dyDescent="0.2">
      <c r="C118" s="3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1"/>
      <c r="S118" s="40"/>
      <c r="T118" s="41"/>
    </row>
    <row r="119" spans="1:20" s="37" customFormat="1" ht="12" x14ac:dyDescent="0.2">
      <c r="A119" s="53" t="s">
        <v>109</v>
      </c>
      <c r="B119" s="54"/>
      <c r="C119" s="54"/>
      <c r="D119" s="5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1"/>
      <c r="S119" s="40"/>
      <c r="T119" s="41"/>
    </row>
    <row r="120" spans="1:20" s="37" customFormat="1" ht="12" x14ac:dyDescent="0.2">
      <c r="A120" s="53"/>
      <c r="B120" s="53"/>
      <c r="C120" s="54" t="s">
        <v>110</v>
      </c>
      <c r="D120" s="54"/>
      <c r="E120" s="67">
        <f>E117</f>
        <v>9746.3395827060012</v>
      </c>
      <c r="F120" s="67">
        <f t="shared" ref="F120:Q120" si="31">F117</f>
        <v>9745.6917499999836</v>
      </c>
      <c r="G120" s="67">
        <f t="shared" si="31"/>
        <v>9745.6917499999836</v>
      </c>
      <c r="H120" s="67">
        <f t="shared" si="31"/>
        <v>9745.6917499999836</v>
      </c>
      <c r="I120" s="67">
        <f t="shared" si="31"/>
        <v>9745.6917499999836</v>
      </c>
      <c r="J120" s="67">
        <f t="shared" si="31"/>
        <v>9745.6917499999836</v>
      </c>
      <c r="K120" s="67">
        <f t="shared" si="31"/>
        <v>9745.6917499999836</v>
      </c>
      <c r="L120" s="67">
        <f t="shared" si="31"/>
        <v>9745.6917499999836</v>
      </c>
      <c r="M120" s="67">
        <f t="shared" si="31"/>
        <v>9745.6917499999836</v>
      </c>
      <c r="N120" s="67">
        <f t="shared" si="31"/>
        <v>9745.6917499999836</v>
      </c>
      <c r="O120" s="67">
        <f t="shared" si="31"/>
        <v>9745.6917499999836</v>
      </c>
      <c r="P120" s="67">
        <f t="shared" si="31"/>
        <v>9745.6917499999836</v>
      </c>
      <c r="Q120" s="67">
        <f t="shared" si="31"/>
        <v>0</v>
      </c>
      <c r="R120" s="41"/>
      <c r="S120" s="40"/>
      <c r="T120" s="41"/>
    </row>
    <row r="121" spans="1:20" s="37" customFormat="1" ht="12" x14ac:dyDescent="0.2">
      <c r="A121" s="54"/>
      <c r="B121" s="54" t="s">
        <v>111</v>
      </c>
      <c r="C121" s="54" t="s">
        <v>112</v>
      </c>
      <c r="D121" s="5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1"/>
      <c r="S121" s="40"/>
      <c r="T121" s="41"/>
    </row>
    <row r="122" spans="1:20" s="37" customFormat="1" ht="12" x14ac:dyDescent="0.2">
      <c r="A122" s="54"/>
      <c r="B122" s="54" t="s">
        <v>111</v>
      </c>
      <c r="C122" s="54"/>
      <c r="D122" s="55" t="s">
        <v>113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41"/>
      <c r="S122" s="40"/>
      <c r="T122" s="41"/>
    </row>
    <row r="123" spans="1:20" s="37" customFormat="1" ht="12" x14ac:dyDescent="0.2">
      <c r="A123" s="54"/>
      <c r="B123" s="54" t="s">
        <v>111</v>
      </c>
      <c r="C123" s="54"/>
      <c r="D123" s="55" t="s">
        <v>114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-2.6800000000062028</v>
      </c>
      <c r="R123" s="41"/>
      <c r="S123" s="40"/>
      <c r="T123" s="41"/>
    </row>
    <row r="124" spans="1:20" s="37" customFormat="1" ht="12" x14ac:dyDescent="0.2">
      <c r="A124" s="54"/>
      <c r="B124" s="54" t="s">
        <v>111</v>
      </c>
      <c r="C124" s="54"/>
      <c r="D124" s="55" t="s">
        <v>115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41"/>
      <c r="S124" s="40"/>
      <c r="T124" s="41"/>
    </row>
    <row r="125" spans="1:20" s="37" customFormat="1" ht="12" x14ac:dyDescent="0.2">
      <c r="A125" s="54"/>
      <c r="B125" s="54" t="s">
        <v>111</v>
      </c>
      <c r="C125" s="54"/>
      <c r="D125" s="55" t="s">
        <v>116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41"/>
      <c r="S125" s="40"/>
      <c r="T125" s="41"/>
    </row>
    <row r="126" spans="1:20" s="37" customFormat="1" ht="12" x14ac:dyDescent="0.2">
      <c r="A126" s="54"/>
      <c r="B126" s="54" t="s">
        <v>111</v>
      </c>
      <c r="C126" s="54"/>
      <c r="D126" s="55" t="s">
        <v>117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41"/>
      <c r="S126" s="40"/>
      <c r="T126" s="41"/>
    </row>
    <row r="127" spans="1:20" s="37" customFormat="1" ht="12" x14ac:dyDescent="0.2">
      <c r="A127" s="54"/>
      <c r="B127" s="54" t="s">
        <v>111</v>
      </c>
      <c r="C127" s="54"/>
      <c r="D127" s="55" t="s">
        <v>118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41"/>
      <c r="S127" s="40"/>
      <c r="T127" s="41"/>
    </row>
    <row r="128" spans="1:20" s="37" customFormat="1" ht="12" x14ac:dyDescent="0.2">
      <c r="A128" s="54"/>
      <c r="B128" s="54" t="s">
        <v>111</v>
      </c>
      <c r="C128" s="54"/>
      <c r="D128" s="55" t="s">
        <v>119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41"/>
      <c r="S128" s="40"/>
      <c r="T128" s="41"/>
    </row>
    <row r="129" spans="1:20" s="37" customFormat="1" ht="12" x14ac:dyDescent="0.2">
      <c r="A129" s="54"/>
      <c r="B129" s="54" t="s">
        <v>111</v>
      </c>
      <c r="C129" s="54"/>
      <c r="D129" s="55" t="s">
        <v>120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41"/>
      <c r="S129" s="40"/>
      <c r="T129" s="41"/>
    </row>
    <row r="130" spans="1:20" s="37" customFormat="1" ht="12" x14ac:dyDescent="0.2">
      <c r="A130" s="54"/>
      <c r="B130" s="54" t="s">
        <v>111</v>
      </c>
      <c r="C130" s="54"/>
      <c r="D130" s="55" t="s">
        <v>121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41"/>
      <c r="S130" s="40"/>
      <c r="T130" s="41"/>
    </row>
    <row r="131" spans="1:20" s="37" customFormat="1" ht="12" x14ac:dyDescent="0.2">
      <c r="A131" s="54"/>
      <c r="B131" s="54" t="s">
        <v>111</v>
      </c>
      <c r="C131" s="54" t="s">
        <v>122</v>
      </c>
      <c r="D131" s="55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41"/>
      <c r="S131" s="40"/>
      <c r="T131" s="41"/>
    </row>
    <row r="132" spans="1:20" s="37" customFormat="1" ht="12" x14ac:dyDescent="0.2">
      <c r="A132" s="54"/>
      <c r="B132" s="54" t="s">
        <v>111</v>
      </c>
      <c r="C132" s="54"/>
      <c r="D132" s="55" t="s">
        <v>123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41"/>
      <c r="S132" s="40"/>
      <c r="T132" s="41"/>
    </row>
    <row r="133" spans="1:20" s="37" customFormat="1" ht="12" x14ac:dyDescent="0.2">
      <c r="A133" s="54"/>
      <c r="B133" s="54"/>
      <c r="C133" s="54"/>
      <c r="D133" s="54" t="s">
        <v>124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41"/>
      <c r="S133" s="40"/>
      <c r="T133" s="41"/>
    </row>
    <row r="134" spans="1:20" s="37" customFormat="1" ht="12" x14ac:dyDescent="0.2">
      <c r="A134" s="54"/>
      <c r="B134" s="54"/>
      <c r="C134" s="54" t="s">
        <v>125</v>
      </c>
      <c r="D134" s="54"/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41"/>
      <c r="S134" s="40"/>
      <c r="T134" s="41"/>
    </row>
    <row r="135" spans="1:20" s="37" customFormat="1" ht="12" x14ac:dyDescent="0.2">
      <c r="A135" s="54"/>
      <c r="B135" s="54"/>
      <c r="C135" s="54"/>
      <c r="D135" s="54" t="s">
        <v>129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41"/>
      <c r="S135" s="40"/>
      <c r="T135" s="41"/>
    </row>
    <row r="136" spans="1:20" s="37" customFormat="1" ht="12" x14ac:dyDescent="0.2">
      <c r="A136" s="54"/>
      <c r="B136" s="54"/>
      <c r="C136" s="54"/>
      <c r="D136" s="54" t="s">
        <v>130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41"/>
      <c r="S136" s="40"/>
      <c r="T136" s="41"/>
    </row>
    <row r="137" spans="1:20" s="37" customFormat="1" ht="12" x14ac:dyDescent="0.2">
      <c r="A137" s="54"/>
      <c r="B137" s="54"/>
      <c r="C137" s="54"/>
      <c r="D137" s="5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39"/>
      <c r="R137" s="41"/>
      <c r="S137" s="40"/>
      <c r="T137" s="41"/>
    </row>
    <row r="138" spans="1:20" s="37" customFormat="1" ht="12" x14ac:dyDescent="0.2">
      <c r="A138" s="54"/>
      <c r="B138" s="54" t="s">
        <v>126</v>
      </c>
      <c r="C138" s="54"/>
      <c r="D138" s="54"/>
      <c r="E138" s="67">
        <f>SUM(E120:E136)</f>
        <v>9746.3395827060012</v>
      </c>
      <c r="F138" s="67">
        <f>SUM(F120:F136)</f>
        <v>9745.6917499999836</v>
      </c>
      <c r="G138" s="67">
        <f t="shared" ref="G138:P138" si="32">SUM(G120:G136)</f>
        <v>9745.6917499999836</v>
      </c>
      <c r="H138" s="67">
        <f t="shared" si="32"/>
        <v>9745.6917499999836</v>
      </c>
      <c r="I138" s="67">
        <f t="shared" si="32"/>
        <v>9745.6917499999836</v>
      </c>
      <c r="J138" s="67">
        <f t="shared" si="32"/>
        <v>9745.6917499999836</v>
      </c>
      <c r="K138" s="67">
        <f t="shared" si="32"/>
        <v>9745.6917499999836</v>
      </c>
      <c r="L138" s="67">
        <f t="shared" si="32"/>
        <v>9745.6917499999836</v>
      </c>
      <c r="M138" s="67">
        <f t="shared" si="32"/>
        <v>9745.6917499999836</v>
      </c>
      <c r="N138" s="67">
        <f t="shared" si="32"/>
        <v>9745.6917499999836</v>
      </c>
      <c r="O138" s="67">
        <f t="shared" si="32"/>
        <v>9745.6917499999836</v>
      </c>
      <c r="P138" s="67">
        <f t="shared" si="32"/>
        <v>9745.6917499999836</v>
      </c>
      <c r="Q138" s="39"/>
      <c r="R138" s="41"/>
      <c r="S138" s="40"/>
      <c r="T138" s="41"/>
    </row>
    <row r="139" spans="1:20" s="37" customFormat="1" ht="12" x14ac:dyDescent="0.2">
      <c r="A139" s="54"/>
      <c r="B139" s="54" t="s">
        <v>127</v>
      </c>
      <c r="C139" s="54"/>
      <c r="D139" s="54"/>
      <c r="E139" s="69">
        <f>'FY21'!E139</f>
        <v>0</v>
      </c>
      <c r="F139" s="69">
        <f>E141</f>
        <v>9746.3395827060012</v>
      </c>
      <c r="G139" s="69">
        <f t="shared" ref="G139:P139" si="33">F141</f>
        <v>19492.031332705985</v>
      </c>
      <c r="H139" s="69">
        <f t="shared" si="33"/>
        <v>29237.723082705968</v>
      </c>
      <c r="I139" s="69">
        <f t="shared" si="33"/>
        <v>38983.414832705952</v>
      </c>
      <c r="J139" s="69">
        <f t="shared" si="33"/>
        <v>48729.106582705936</v>
      </c>
      <c r="K139" s="69">
        <f t="shared" si="33"/>
        <v>58474.798332705919</v>
      </c>
      <c r="L139" s="69">
        <f t="shared" si="33"/>
        <v>68220.490082705903</v>
      </c>
      <c r="M139" s="69">
        <f t="shared" si="33"/>
        <v>77966.181832705886</v>
      </c>
      <c r="N139" s="69">
        <f t="shared" si="33"/>
        <v>87711.87358270587</v>
      </c>
      <c r="O139" s="69">
        <f t="shared" si="33"/>
        <v>97457.565332705854</v>
      </c>
      <c r="P139" s="69">
        <f t="shared" si="33"/>
        <v>107203.25708270584</v>
      </c>
      <c r="Q139" s="39"/>
      <c r="R139" s="41"/>
      <c r="S139" s="40"/>
      <c r="T139" s="41"/>
    </row>
    <row r="140" spans="1:20" s="37" customFormat="1" ht="12" x14ac:dyDescent="0.2">
      <c r="A140" s="54"/>
      <c r="B140" s="54"/>
      <c r="C140" s="54"/>
      <c r="D140" s="5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39"/>
      <c r="R140" s="41"/>
      <c r="S140" s="40"/>
      <c r="T140" s="41"/>
    </row>
    <row r="141" spans="1:20" s="37" customFormat="1" ht="12.75" thickBot="1" x14ac:dyDescent="0.25">
      <c r="A141" s="53"/>
      <c r="B141" s="53" t="s">
        <v>128</v>
      </c>
      <c r="C141" s="53"/>
      <c r="D141" s="53"/>
      <c r="E141" s="196">
        <f t="shared" ref="E141:P141" si="34">SUM(E138:E140)</f>
        <v>9746.3395827060012</v>
      </c>
      <c r="F141" s="196">
        <f t="shared" si="34"/>
        <v>19492.031332705985</v>
      </c>
      <c r="G141" s="196">
        <f t="shared" si="34"/>
        <v>29237.723082705968</v>
      </c>
      <c r="H141" s="196">
        <f t="shared" si="34"/>
        <v>38983.414832705952</v>
      </c>
      <c r="I141" s="196">
        <f t="shared" si="34"/>
        <v>48729.106582705936</v>
      </c>
      <c r="J141" s="196">
        <f t="shared" si="34"/>
        <v>58474.798332705919</v>
      </c>
      <c r="K141" s="196">
        <f t="shared" si="34"/>
        <v>68220.490082705903</v>
      </c>
      <c r="L141" s="196">
        <f t="shared" si="34"/>
        <v>77966.181832705886</v>
      </c>
      <c r="M141" s="196">
        <f t="shared" si="34"/>
        <v>87711.87358270587</v>
      </c>
      <c r="N141" s="196">
        <f t="shared" si="34"/>
        <v>97457.565332705854</v>
      </c>
      <c r="O141" s="196">
        <f t="shared" si="34"/>
        <v>107203.25708270584</v>
      </c>
      <c r="P141" s="196">
        <f t="shared" si="34"/>
        <v>116948.94883270582</v>
      </c>
      <c r="Q141" s="39"/>
      <c r="R141" s="41"/>
      <c r="S141" s="40"/>
      <c r="T141" s="41"/>
    </row>
    <row r="142" spans="1:20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</row>
    <row r="143" spans="1:20" s="37" customFormat="1" ht="12.75" thickBot="1" x14ac:dyDescent="0.25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</row>
    <row r="144" spans="1:20" s="37" customFormat="1" ht="12.75" thickBot="1" x14ac:dyDescent="0.25">
      <c r="C144" s="38"/>
      <c r="E144" s="723" t="s">
        <v>168</v>
      </c>
      <c r="F144" s="724"/>
      <c r="G144" s="724"/>
      <c r="H144" s="724"/>
      <c r="I144" s="724"/>
      <c r="J144" s="724"/>
      <c r="K144" s="724"/>
      <c r="L144" s="724"/>
      <c r="M144" s="724"/>
      <c r="N144" s="724"/>
      <c r="O144" s="724"/>
      <c r="P144" s="725"/>
      <c r="Q144" s="39"/>
      <c r="R144" s="41"/>
      <c r="S144" s="40"/>
      <c r="T144" s="41"/>
    </row>
    <row r="145" spans="3:20" s="37" customFormat="1" ht="12" x14ac:dyDescent="0.2">
      <c r="C145" s="38"/>
      <c r="E145" s="178" t="s">
        <v>155</v>
      </c>
      <c r="F145" s="178" t="s">
        <v>156</v>
      </c>
      <c r="G145" s="178" t="s">
        <v>157</v>
      </c>
      <c r="H145" s="178" t="s">
        <v>158</v>
      </c>
      <c r="I145" s="178" t="s">
        <v>159</v>
      </c>
      <c r="J145" s="178" t="s">
        <v>160</v>
      </c>
      <c r="K145" s="178" t="s">
        <v>161</v>
      </c>
      <c r="L145" s="178" t="s">
        <v>162</v>
      </c>
      <c r="M145" s="178" t="s">
        <v>163</v>
      </c>
      <c r="N145" s="178" t="s">
        <v>164</v>
      </c>
      <c r="O145" s="178" t="s">
        <v>165</v>
      </c>
      <c r="P145" s="178" t="s">
        <v>166</v>
      </c>
      <c r="Q145" s="39"/>
      <c r="R145" s="41"/>
      <c r="S145" s="40"/>
      <c r="T145" s="41"/>
    </row>
    <row r="146" spans="3:20" s="37" customFormat="1" ht="12" hidden="1" x14ac:dyDescent="0.2">
      <c r="C146" s="38"/>
      <c r="D146" s="202" t="s">
        <v>63</v>
      </c>
      <c r="E146" s="179">
        <f>'Rev &amp; Enroll'!Q10</f>
        <v>0</v>
      </c>
      <c r="F146" s="179">
        <f>'Rev &amp; Enroll'!R10</f>
        <v>0</v>
      </c>
      <c r="G146" s="179">
        <f>'Rev &amp; Enroll'!S10</f>
        <v>0</v>
      </c>
      <c r="H146" s="179">
        <f>'Rev &amp; Enroll'!T10</f>
        <v>0</v>
      </c>
      <c r="I146" s="179">
        <f>'Rev &amp; Enroll'!U10</f>
        <v>0</v>
      </c>
      <c r="J146" s="179">
        <f>'Rev &amp; Enroll'!V10</f>
        <v>0</v>
      </c>
      <c r="K146" s="179">
        <f>'Rev &amp; Enroll'!W10</f>
        <v>0</v>
      </c>
      <c r="L146" s="179">
        <f>'Rev &amp; Enroll'!X10</f>
        <v>0</v>
      </c>
      <c r="M146" s="179">
        <f>'Rev &amp; Enroll'!Y10</f>
        <v>0</v>
      </c>
      <c r="N146" s="179">
        <f>'Rev &amp; Enroll'!Z10</f>
        <v>0</v>
      </c>
      <c r="O146" s="179">
        <f>'Rev &amp; Enroll'!AA10</f>
        <v>0</v>
      </c>
      <c r="P146" s="179">
        <f>'Rev &amp; Enroll'!AB10</f>
        <v>0</v>
      </c>
      <c r="Q146" s="39"/>
      <c r="R146" s="41"/>
      <c r="S146" s="40"/>
      <c r="T146" s="41"/>
    </row>
    <row r="147" spans="3:20" s="37" customFormat="1" ht="12" hidden="1" x14ac:dyDescent="0.2">
      <c r="C147" s="38"/>
      <c r="D147" s="202" t="s">
        <v>64</v>
      </c>
      <c r="E147" s="179">
        <f>'Rev &amp; Enroll'!Q11</f>
        <v>0</v>
      </c>
      <c r="F147" s="179">
        <f>'Rev &amp; Enroll'!R11</f>
        <v>0</v>
      </c>
      <c r="G147" s="179">
        <f>'Rev &amp; Enroll'!S11</f>
        <v>0</v>
      </c>
      <c r="H147" s="179">
        <f>'Rev &amp; Enroll'!T11</f>
        <v>0</v>
      </c>
      <c r="I147" s="179">
        <f>'Rev &amp; Enroll'!U11</f>
        <v>0</v>
      </c>
      <c r="J147" s="179">
        <f>'Rev &amp; Enroll'!V11</f>
        <v>0</v>
      </c>
      <c r="K147" s="179">
        <f>'Rev &amp; Enroll'!W11</f>
        <v>0</v>
      </c>
      <c r="L147" s="179">
        <f>'Rev &amp; Enroll'!X11</f>
        <v>0</v>
      </c>
      <c r="M147" s="179">
        <f>'Rev &amp; Enroll'!Y11</f>
        <v>0</v>
      </c>
      <c r="N147" s="179">
        <f>'Rev &amp; Enroll'!Z11</f>
        <v>0</v>
      </c>
      <c r="O147" s="179">
        <f>'Rev &amp; Enroll'!AA11</f>
        <v>0</v>
      </c>
      <c r="P147" s="179">
        <f>'Rev &amp; Enroll'!AB11</f>
        <v>0</v>
      </c>
      <c r="Q147" s="39"/>
      <c r="R147" s="41"/>
      <c r="S147" s="40"/>
      <c r="T147" s="41"/>
    </row>
    <row r="148" spans="3:20" s="37" customFormat="1" ht="12" hidden="1" x14ac:dyDescent="0.2">
      <c r="C148" s="38"/>
      <c r="D148" s="202">
        <v>1</v>
      </c>
      <c r="E148" s="179">
        <f>'Rev &amp; Enroll'!Q12</f>
        <v>0</v>
      </c>
      <c r="F148" s="179">
        <f>'Rev &amp; Enroll'!R12</f>
        <v>0</v>
      </c>
      <c r="G148" s="179">
        <f>'Rev &amp; Enroll'!S12</f>
        <v>0</v>
      </c>
      <c r="H148" s="179">
        <f>'Rev &amp; Enroll'!T12</f>
        <v>0</v>
      </c>
      <c r="I148" s="179">
        <f>'Rev &amp; Enroll'!U12</f>
        <v>0</v>
      </c>
      <c r="J148" s="179">
        <f>'Rev &amp; Enroll'!V12</f>
        <v>0</v>
      </c>
      <c r="K148" s="179">
        <f>'Rev &amp; Enroll'!W12</f>
        <v>0</v>
      </c>
      <c r="L148" s="179">
        <f>'Rev &amp; Enroll'!X12</f>
        <v>0</v>
      </c>
      <c r="M148" s="179">
        <f>'Rev &amp; Enroll'!Y12</f>
        <v>0</v>
      </c>
      <c r="N148" s="179">
        <f>'Rev &amp; Enroll'!Z12</f>
        <v>0</v>
      </c>
      <c r="O148" s="179">
        <f>'Rev &amp; Enroll'!AA12</f>
        <v>0</v>
      </c>
      <c r="P148" s="179">
        <f>'Rev &amp; Enroll'!AB12</f>
        <v>0</v>
      </c>
      <c r="Q148" s="39"/>
      <c r="R148" s="41"/>
      <c r="S148" s="40"/>
      <c r="T148" s="41"/>
    </row>
    <row r="149" spans="3:20" s="37" customFormat="1" ht="12" hidden="1" x14ac:dyDescent="0.2">
      <c r="C149" s="38"/>
      <c r="D149" s="202">
        <v>2</v>
      </c>
      <c r="E149" s="179">
        <f>'Rev &amp; Enroll'!Q13</f>
        <v>0</v>
      </c>
      <c r="F149" s="179">
        <f>'Rev &amp; Enroll'!R13</f>
        <v>0</v>
      </c>
      <c r="G149" s="179">
        <f>'Rev &amp; Enroll'!S13</f>
        <v>0</v>
      </c>
      <c r="H149" s="179">
        <f>'Rev &amp; Enroll'!T13</f>
        <v>0</v>
      </c>
      <c r="I149" s="179">
        <f>'Rev &amp; Enroll'!U13</f>
        <v>0</v>
      </c>
      <c r="J149" s="179">
        <f>'Rev &amp; Enroll'!V13</f>
        <v>0</v>
      </c>
      <c r="K149" s="179">
        <f>'Rev &amp; Enroll'!W13</f>
        <v>0</v>
      </c>
      <c r="L149" s="179">
        <f>'Rev &amp; Enroll'!X13</f>
        <v>0</v>
      </c>
      <c r="M149" s="179">
        <f>'Rev &amp; Enroll'!Y13</f>
        <v>0</v>
      </c>
      <c r="N149" s="179">
        <f>'Rev &amp; Enroll'!Z13</f>
        <v>0</v>
      </c>
      <c r="O149" s="179">
        <f>'Rev &amp; Enroll'!AA13</f>
        <v>0</v>
      </c>
      <c r="P149" s="179">
        <f>'Rev &amp; Enroll'!AB13</f>
        <v>0</v>
      </c>
      <c r="Q149" s="39"/>
      <c r="R149" s="41"/>
      <c r="S149" s="40"/>
      <c r="T149" s="41"/>
    </row>
    <row r="150" spans="3:20" s="37" customFormat="1" ht="12" hidden="1" x14ac:dyDescent="0.2">
      <c r="C150" s="38"/>
      <c r="D150" s="202">
        <v>3</v>
      </c>
      <c r="E150" s="179">
        <f>'Rev &amp; Enroll'!Q14</f>
        <v>0</v>
      </c>
      <c r="F150" s="179">
        <f>'Rev &amp; Enroll'!R14</f>
        <v>0</v>
      </c>
      <c r="G150" s="179">
        <f>'Rev &amp; Enroll'!S14</f>
        <v>0</v>
      </c>
      <c r="H150" s="179">
        <f>'Rev &amp; Enroll'!T14</f>
        <v>0</v>
      </c>
      <c r="I150" s="179">
        <f>'Rev &amp; Enroll'!U14</f>
        <v>0</v>
      </c>
      <c r="J150" s="179">
        <f>'Rev &amp; Enroll'!V14</f>
        <v>0</v>
      </c>
      <c r="K150" s="179">
        <f>'Rev &amp; Enroll'!W14</f>
        <v>0</v>
      </c>
      <c r="L150" s="179">
        <f>'Rev &amp; Enroll'!X14</f>
        <v>0</v>
      </c>
      <c r="M150" s="179">
        <f>'Rev &amp; Enroll'!Y14</f>
        <v>0</v>
      </c>
      <c r="N150" s="179">
        <f>'Rev &amp; Enroll'!Z14</f>
        <v>0</v>
      </c>
      <c r="O150" s="179">
        <f>'Rev &amp; Enroll'!AA14</f>
        <v>0</v>
      </c>
      <c r="P150" s="179">
        <f>'Rev &amp; Enroll'!AB14</f>
        <v>0</v>
      </c>
      <c r="Q150" s="39"/>
      <c r="R150" s="41"/>
      <c r="S150" s="40"/>
      <c r="T150" s="41"/>
    </row>
    <row r="151" spans="3:20" s="37" customFormat="1" ht="12" hidden="1" x14ac:dyDescent="0.2">
      <c r="C151" s="38"/>
      <c r="D151" s="202">
        <v>4</v>
      </c>
      <c r="E151" s="179">
        <f>'Rev &amp; Enroll'!Q15</f>
        <v>0</v>
      </c>
      <c r="F151" s="179">
        <f>'Rev &amp; Enroll'!R15</f>
        <v>0</v>
      </c>
      <c r="G151" s="179">
        <f>'Rev &amp; Enroll'!S15</f>
        <v>0</v>
      </c>
      <c r="H151" s="179">
        <f>'Rev &amp; Enroll'!T15</f>
        <v>0</v>
      </c>
      <c r="I151" s="179">
        <f>'Rev &amp; Enroll'!U15</f>
        <v>0</v>
      </c>
      <c r="J151" s="179">
        <f>'Rev &amp; Enroll'!V15</f>
        <v>0</v>
      </c>
      <c r="K151" s="179">
        <f>'Rev &amp; Enroll'!W15</f>
        <v>0</v>
      </c>
      <c r="L151" s="179">
        <f>'Rev &amp; Enroll'!X15</f>
        <v>0</v>
      </c>
      <c r="M151" s="179">
        <f>'Rev &amp; Enroll'!Y15</f>
        <v>0</v>
      </c>
      <c r="N151" s="179">
        <f>'Rev &amp; Enroll'!Z15</f>
        <v>0</v>
      </c>
      <c r="O151" s="179">
        <f>'Rev &amp; Enroll'!AA15</f>
        <v>0</v>
      </c>
      <c r="P151" s="179">
        <f>'Rev &amp; Enroll'!AB15</f>
        <v>0</v>
      </c>
      <c r="Q151" s="39"/>
      <c r="R151" s="41"/>
      <c r="S151" s="40"/>
      <c r="T151" s="41"/>
    </row>
    <row r="152" spans="3:20" s="37" customFormat="1" ht="12" hidden="1" x14ac:dyDescent="0.2">
      <c r="C152" s="38"/>
      <c r="D152" s="202">
        <v>5</v>
      </c>
      <c r="E152" s="179">
        <f>'Rev &amp; Enroll'!Q16</f>
        <v>0</v>
      </c>
      <c r="F152" s="179">
        <f>'Rev &amp; Enroll'!R16</f>
        <v>0</v>
      </c>
      <c r="G152" s="179">
        <f>'Rev &amp; Enroll'!S16</f>
        <v>0</v>
      </c>
      <c r="H152" s="179">
        <f>'Rev &amp; Enroll'!T16</f>
        <v>0</v>
      </c>
      <c r="I152" s="179">
        <f>'Rev &amp; Enroll'!U16</f>
        <v>0</v>
      </c>
      <c r="J152" s="179">
        <f>'Rev &amp; Enroll'!V16</f>
        <v>0</v>
      </c>
      <c r="K152" s="179">
        <f>'Rev &amp; Enroll'!W16</f>
        <v>0</v>
      </c>
      <c r="L152" s="179">
        <f>'Rev &amp; Enroll'!X16</f>
        <v>0</v>
      </c>
      <c r="M152" s="179">
        <f>'Rev &amp; Enroll'!Y16</f>
        <v>0</v>
      </c>
      <c r="N152" s="179">
        <f>'Rev &amp; Enroll'!Z16</f>
        <v>0</v>
      </c>
      <c r="O152" s="179">
        <f>'Rev &amp; Enroll'!AA16</f>
        <v>0</v>
      </c>
      <c r="P152" s="179">
        <f>'Rev &amp; Enroll'!AB16</f>
        <v>0</v>
      </c>
      <c r="Q152" s="39"/>
      <c r="R152" s="41"/>
      <c r="S152" s="40"/>
      <c r="T152" s="41"/>
    </row>
    <row r="153" spans="3:20" s="37" customFormat="1" ht="12" hidden="1" x14ac:dyDescent="0.2">
      <c r="C153" s="38"/>
      <c r="D153" s="202">
        <v>6</v>
      </c>
      <c r="E153" s="179">
        <f>'Rev &amp; Enroll'!Q17</f>
        <v>0</v>
      </c>
      <c r="F153" s="179">
        <f>'Rev &amp; Enroll'!R17</f>
        <v>0</v>
      </c>
      <c r="G153" s="179">
        <f>'Rev &amp; Enroll'!S17</f>
        <v>0</v>
      </c>
      <c r="H153" s="179">
        <f>'Rev &amp; Enroll'!T17</f>
        <v>0</v>
      </c>
      <c r="I153" s="179">
        <f>'Rev &amp; Enroll'!U17</f>
        <v>0</v>
      </c>
      <c r="J153" s="179">
        <f>'Rev &amp; Enroll'!V17</f>
        <v>0</v>
      </c>
      <c r="K153" s="179">
        <f>'Rev &amp; Enroll'!W17</f>
        <v>0</v>
      </c>
      <c r="L153" s="179">
        <f>'Rev &amp; Enroll'!X17</f>
        <v>0</v>
      </c>
      <c r="M153" s="179">
        <f>'Rev &amp; Enroll'!Y17</f>
        <v>0</v>
      </c>
      <c r="N153" s="179">
        <f>'Rev &amp; Enroll'!Z17</f>
        <v>0</v>
      </c>
      <c r="O153" s="179">
        <f>'Rev &amp; Enroll'!AA17</f>
        <v>0</v>
      </c>
      <c r="P153" s="179">
        <f>'Rev &amp; Enroll'!AB17</f>
        <v>0</v>
      </c>
      <c r="Q153" s="39"/>
      <c r="R153" s="41"/>
      <c r="S153" s="40"/>
      <c r="T153" s="41"/>
    </row>
    <row r="154" spans="3:20" s="37" customFormat="1" ht="12" hidden="1" x14ac:dyDescent="0.2">
      <c r="C154" s="38"/>
      <c r="D154" s="202">
        <v>7</v>
      </c>
      <c r="E154" s="179">
        <f>'Rev &amp; Enroll'!Q18</f>
        <v>0</v>
      </c>
      <c r="F154" s="179">
        <f>'Rev &amp; Enroll'!R18</f>
        <v>0</v>
      </c>
      <c r="G154" s="179">
        <f>'Rev &amp; Enroll'!S18</f>
        <v>0</v>
      </c>
      <c r="H154" s="179">
        <f>'Rev &amp; Enroll'!T18</f>
        <v>0</v>
      </c>
      <c r="I154" s="179">
        <f>'Rev &amp; Enroll'!U18</f>
        <v>0</v>
      </c>
      <c r="J154" s="179">
        <f>'Rev &amp; Enroll'!V18</f>
        <v>0</v>
      </c>
      <c r="K154" s="179">
        <f>'Rev &amp; Enroll'!W18</f>
        <v>0</v>
      </c>
      <c r="L154" s="179">
        <f>'Rev &amp; Enroll'!X18</f>
        <v>0</v>
      </c>
      <c r="M154" s="179">
        <f>'Rev &amp; Enroll'!Y18</f>
        <v>0</v>
      </c>
      <c r="N154" s="179">
        <f>'Rev &amp; Enroll'!Z18</f>
        <v>0</v>
      </c>
      <c r="O154" s="179">
        <f>'Rev &amp; Enroll'!AA18</f>
        <v>0</v>
      </c>
      <c r="P154" s="179">
        <f>'Rev &amp; Enroll'!AB18</f>
        <v>0</v>
      </c>
      <c r="Q154" s="39"/>
      <c r="R154" s="41"/>
      <c r="S154" s="40"/>
      <c r="T154" s="41"/>
    </row>
    <row r="155" spans="3:20" s="37" customFormat="1" ht="12" hidden="1" x14ac:dyDescent="0.2">
      <c r="C155" s="38"/>
      <c r="D155" s="202">
        <v>8</v>
      </c>
      <c r="E155" s="179">
        <f>'Rev &amp; Enroll'!Q19</f>
        <v>0</v>
      </c>
      <c r="F155" s="179">
        <f>'Rev &amp; Enroll'!R19</f>
        <v>0</v>
      </c>
      <c r="G155" s="179">
        <f>'Rev &amp; Enroll'!S19</f>
        <v>0</v>
      </c>
      <c r="H155" s="179">
        <f>'Rev &amp; Enroll'!T19</f>
        <v>0</v>
      </c>
      <c r="I155" s="179">
        <f>'Rev &amp; Enroll'!U19</f>
        <v>0</v>
      </c>
      <c r="J155" s="179">
        <f>'Rev &amp; Enroll'!V19</f>
        <v>0</v>
      </c>
      <c r="K155" s="179">
        <f>'Rev &amp; Enroll'!W19</f>
        <v>0</v>
      </c>
      <c r="L155" s="179">
        <f>'Rev &amp; Enroll'!X19</f>
        <v>0</v>
      </c>
      <c r="M155" s="179">
        <f>'Rev &amp; Enroll'!Y19</f>
        <v>0</v>
      </c>
      <c r="N155" s="179">
        <f>'Rev &amp; Enroll'!Z19</f>
        <v>0</v>
      </c>
      <c r="O155" s="179">
        <f>'Rev &amp; Enroll'!AA19</f>
        <v>0</v>
      </c>
      <c r="P155" s="179">
        <f>'Rev &amp; Enroll'!AB19</f>
        <v>0</v>
      </c>
      <c r="Q155" s="39"/>
      <c r="R155" s="41"/>
      <c r="S155" s="40"/>
      <c r="T155" s="41"/>
    </row>
    <row r="156" spans="3:20" s="37" customFormat="1" ht="12" hidden="1" x14ac:dyDescent="0.2">
      <c r="C156" s="38"/>
      <c r="D156" s="202">
        <v>9</v>
      </c>
      <c r="E156" s="179">
        <f>'Rev &amp; Enroll'!Q20</f>
        <v>0</v>
      </c>
      <c r="F156" s="179">
        <f>'Rev &amp; Enroll'!R20</f>
        <v>0</v>
      </c>
      <c r="G156" s="179">
        <f>'Rev &amp; Enroll'!S20</f>
        <v>0</v>
      </c>
      <c r="H156" s="179">
        <f>'Rev &amp; Enroll'!T20</f>
        <v>0</v>
      </c>
      <c r="I156" s="179">
        <f>'Rev &amp; Enroll'!U20</f>
        <v>0</v>
      </c>
      <c r="J156" s="179">
        <f>'Rev &amp; Enroll'!V20</f>
        <v>0</v>
      </c>
      <c r="K156" s="179">
        <f>'Rev &amp; Enroll'!W20</f>
        <v>0</v>
      </c>
      <c r="L156" s="179">
        <f>'Rev &amp; Enroll'!X20</f>
        <v>0</v>
      </c>
      <c r="M156" s="179">
        <f>'Rev &amp; Enroll'!Y20</f>
        <v>0</v>
      </c>
      <c r="N156" s="179">
        <f>'Rev &amp; Enroll'!Z20</f>
        <v>0</v>
      </c>
      <c r="O156" s="179">
        <f>'Rev &amp; Enroll'!AA20</f>
        <v>0</v>
      </c>
      <c r="P156" s="179">
        <f>'Rev &amp; Enroll'!AB20</f>
        <v>0</v>
      </c>
      <c r="Q156" s="39"/>
      <c r="R156" s="41"/>
      <c r="S156" s="40"/>
      <c r="T156" s="41"/>
    </row>
    <row r="157" spans="3:20" s="37" customFormat="1" ht="12" hidden="1" x14ac:dyDescent="0.2">
      <c r="C157" s="38"/>
      <c r="D157" s="202">
        <v>10</v>
      </c>
      <c r="E157" s="179">
        <f>'Rev &amp; Enroll'!Q21</f>
        <v>0</v>
      </c>
      <c r="F157" s="179">
        <f>'Rev &amp; Enroll'!R21</f>
        <v>0</v>
      </c>
      <c r="G157" s="179">
        <f>'Rev &amp; Enroll'!S21</f>
        <v>0</v>
      </c>
      <c r="H157" s="179">
        <f>'Rev &amp; Enroll'!T21</f>
        <v>0</v>
      </c>
      <c r="I157" s="179">
        <f>'Rev &amp; Enroll'!U21</f>
        <v>0</v>
      </c>
      <c r="J157" s="179">
        <f>'Rev &amp; Enroll'!V21</f>
        <v>0</v>
      </c>
      <c r="K157" s="179">
        <f>'Rev &amp; Enroll'!W21</f>
        <v>0</v>
      </c>
      <c r="L157" s="179">
        <f>'Rev &amp; Enroll'!X21</f>
        <v>0</v>
      </c>
      <c r="M157" s="179">
        <f>'Rev &amp; Enroll'!Y21</f>
        <v>0</v>
      </c>
      <c r="N157" s="179">
        <f>'Rev &amp; Enroll'!Z21</f>
        <v>0</v>
      </c>
      <c r="O157" s="179">
        <f>'Rev &amp; Enroll'!AA21</f>
        <v>0</v>
      </c>
      <c r="P157" s="179">
        <f>'Rev &amp; Enroll'!AB21</f>
        <v>0</v>
      </c>
      <c r="Q157" s="39"/>
      <c r="R157" s="41"/>
      <c r="S157" s="40"/>
      <c r="T157" s="41"/>
    </row>
    <row r="158" spans="3:20" s="37" customFormat="1" ht="12" x14ac:dyDescent="0.2">
      <c r="C158" s="38"/>
      <c r="D158" s="202">
        <v>11</v>
      </c>
      <c r="E158" s="179">
        <f>'Rev &amp; Enroll'!Q22</f>
        <v>142</v>
      </c>
      <c r="F158" s="179">
        <f>'Rev &amp; Enroll'!R22</f>
        <v>142</v>
      </c>
      <c r="G158" s="179">
        <f>'Rev &amp; Enroll'!S22</f>
        <v>142</v>
      </c>
      <c r="H158" s="179">
        <f>'Rev &amp; Enroll'!T22</f>
        <v>142</v>
      </c>
      <c r="I158" s="179">
        <f>'Rev &amp; Enroll'!U22</f>
        <v>142</v>
      </c>
      <c r="J158" s="179">
        <f>'Rev &amp; Enroll'!V22</f>
        <v>142</v>
      </c>
      <c r="K158" s="179">
        <f>'Rev &amp; Enroll'!W22</f>
        <v>142</v>
      </c>
      <c r="L158" s="179">
        <f>'Rev &amp; Enroll'!X22</f>
        <v>142</v>
      </c>
      <c r="M158" s="179">
        <f>'Rev &amp; Enroll'!Y22</f>
        <v>142</v>
      </c>
      <c r="N158" s="179">
        <f>'Rev &amp; Enroll'!Z22</f>
        <v>142</v>
      </c>
      <c r="O158" s="179">
        <f>'Rev &amp; Enroll'!AA22</f>
        <v>142</v>
      </c>
      <c r="P158" s="179">
        <f>'Rev &amp; Enroll'!AB22</f>
        <v>142</v>
      </c>
      <c r="Q158" s="39"/>
      <c r="R158" s="41"/>
      <c r="S158" s="40"/>
      <c r="T158" s="41"/>
    </row>
    <row r="159" spans="3:20" s="37" customFormat="1" ht="12" x14ac:dyDescent="0.2">
      <c r="C159" s="38"/>
      <c r="D159" s="202">
        <v>12</v>
      </c>
      <c r="E159" s="179">
        <f>'Rev &amp; Enroll'!Q23</f>
        <v>128</v>
      </c>
      <c r="F159" s="179">
        <f>'Rev &amp; Enroll'!R23</f>
        <v>128</v>
      </c>
      <c r="G159" s="179">
        <f>'Rev &amp; Enroll'!S23</f>
        <v>128</v>
      </c>
      <c r="H159" s="179">
        <f>'Rev &amp; Enroll'!T23</f>
        <v>128</v>
      </c>
      <c r="I159" s="179">
        <f>'Rev &amp; Enroll'!U23</f>
        <v>128</v>
      </c>
      <c r="J159" s="179">
        <f>'Rev &amp; Enroll'!V23</f>
        <v>128</v>
      </c>
      <c r="K159" s="179">
        <f>'Rev &amp; Enroll'!W23</f>
        <v>128</v>
      </c>
      <c r="L159" s="179">
        <f>'Rev &amp; Enroll'!X23</f>
        <v>128</v>
      </c>
      <c r="M159" s="179">
        <f>'Rev &amp; Enroll'!Y23</f>
        <v>128</v>
      </c>
      <c r="N159" s="179">
        <f>'Rev &amp; Enroll'!Z23</f>
        <v>128</v>
      </c>
      <c r="O159" s="179">
        <f>'Rev &amp; Enroll'!AA23</f>
        <v>128</v>
      </c>
      <c r="P159" s="179">
        <f>'Rev &amp; Enroll'!AB23</f>
        <v>128</v>
      </c>
      <c r="Q159" s="201" t="s">
        <v>183</v>
      </c>
      <c r="R159" s="41"/>
      <c r="S159" s="40"/>
      <c r="T159" s="41"/>
    </row>
    <row r="160" spans="3:20" s="37" customFormat="1" ht="12" x14ac:dyDescent="0.2">
      <c r="C160" s="38"/>
      <c r="D160" s="203" t="s">
        <v>66</v>
      </c>
      <c r="E160" s="180">
        <f>SUM(E146:E159)</f>
        <v>270</v>
      </c>
      <c r="F160" s="180">
        <f t="shared" ref="F160:P160" si="35">SUM(F146:F159)</f>
        <v>270</v>
      </c>
      <c r="G160" s="180">
        <f t="shared" si="35"/>
        <v>270</v>
      </c>
      <c r="H160" s="180">
        <f t="shared" si="35"/>
        <v>270</v>
      </c>
      <c r="I160" s="180">
        <f t="shared" si="35"/>
        <v>270</v>
      </c>
      <c r="J160" s="180">
        <f t="shared" si="35"/>
        <v>270</v>
      </c>
      <c r="K160" s="180">
        <f t="shared" si="35"/>
        <v>270</v>
      </c>
      <c r="L160" s="180">
        <f t="shared" si="35"/>
        <v>270</v>
      </c>
      <c r="M160" s="180">
        <f t="shared" si="35"/>
        <v>270</v>
      </c>
      <c r="N160" s="180">
        <f t="shared" si="35"/>
        <v>270</v>
      </c>
      <c r="O160" s="180">
        <f t="shared" si="35"/>
        <v>270</v>
      </c>
      <c r="P160" s="180">
        <f t="shared" si="35"/>
        <v>270</v>
      </c>
      <c r="Q160" s="201">
        <f>AVERAGE(E160:P160)</f>
        <v>270</v>
      </c>
      <c r="R160" s="41"/>
      <c r="S160" s="40"/>
      <c r="T160" s="41"/>
    </row>
    <row r="161" spans="3:20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</row>
    <row r="162" spans="3:20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</row>
    <row r="163" spans="3:20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</row>
    <row r="164" spans="3:20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</row>
    <row r="165" spans="3:20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</row>
    <row r="166" spans="3:20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</row>
    <row r="167" spans="3:20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</row>
    <row r="168" spans="3:20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</row>
    <row r="169" spans="3:20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</row>
    <row r="170" spans="3:20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</row>
    <row r="171" spans="3:20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</row>
    <row r="172" spans="3:20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</row>
    <row r="173" spans="3:20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</row>
    <row r="174" spans="3:20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</row>
    <row r="175" spans="3:20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</row>
    <row r="176" spans="3:20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</row>
    <row r="177" spans="3:20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</row>
    <row r="178" spans="3:20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</row>
    <row r="179" spans="3:20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</row>
    <row r="180" spans="3:20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</row>
    <row r="181" spans="3:20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</row>
    <row r="182" spans="3:20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</row>
    <row r="183" spans="3:20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</row>
    <row r="184" spans="3:20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</row>
    <row r="185" spans="3:20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</row>
    <row r="186" spans="3:20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</row>
    <row r="187" spans="3:20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</row>
    <row r="188" spans="3:20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</row>
    <row r="189" spans="3:20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</row>
    <row r="190" spans="3:20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</row>
    <row r="191" spans="3:20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</row>
    <row r="192" spans="3:20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</row>
    <row r="193" spans="3:20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</row>
    <row r="194" spans="3:20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</row>
    <row r="195" spans="3:20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</row>
    <row r="196" spans="3:20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</row>
    <row r="197" spans="3:20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</row>
    <row r="198" spans="3:20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</row>
    <row r="199" spans="3:20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</row>
    <row r="200" spans="3:20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</row>
    <row r="201" spans="3:20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</row>
    <row r="202" spans="3:20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</row>
    <row r="203" spans="3:20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</row>
    <row r="204" spans="3:20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</row>
    <row r="205" spans="3:20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</row>
    <row r="206" spans="3:20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</row>
    <row r="207" spans="3:20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</row>
    <row r="208" spans="3:20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</row>
    <row r="209" spans="3:20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</row>
    <row r="210" spans="3:20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</row>
    <row r="211" spans="3:20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</row>
    <row r="212" spans="3:20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</row>
    <row r="213" spans="3:20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</row>
    <row r="214" spans="3:20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</row>
    <row r="215" spans="3:20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</row>
    <row r="216" spans="3:20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</row>
    <row r="217" spans="3:20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</row>
    <row r="218" spans="3:20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</row>
    <row r="219" spans="3:20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</row>
    <row r="220" spans="3:20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</row>
    <row r="221" spans="3:20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</row>
    <row r="222" spans="3:20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</row>
    <row r="223" spans="3:20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</row>
    <row r="224" spans="3:20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</row>
    <row r="225" spans="3:20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</row>
    <row r="226" spans="3:20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</row>
    <row r="227" spans="3:20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</row>
    <row r="228" spans="3:20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</row>
    <row r="229" spans="3:20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</row>
    <row r="230" spans="3:20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</row>
    <row r="231" spans="3:20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</row>
    <row r="232" spans="3:20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</row>
    <row r="233" spans="3:20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</row>
    <row r="234" spans="3:20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</row>
    <row r="235" spans="3:20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</row>
    <row r="236" spans="3:20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</row>
    <row r="237" spans="3:20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</row>
    <row r="238" spans="3:20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</row>
    <row r="239" spans="3:20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</row>
    <row r="240" spans="3:20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</row>
    <row r="241" spans="3:20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</row>
    <row r="242" spans="3:20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</row>
    <row r="243" spans="3:20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</row>
    <row r="244" spans="3:20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</row>
    <row r="245" spans="3:20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</row>
    <row r="246" spans="3:20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</row>
    <row r="247" spans="3:20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</row>
    <row r="248" spans="3:20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</row>
    <row r="249" spans="3:20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</row>
    <row r="250" spans="3:20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</row>
    <row r="251" spans="3:20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</row>
    <row r="252" spans="3:20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</row>
    <row r="253" spans="3:20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</row>
    <row r="254" spans="3:20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</row>
    <row r="255" spans="3:20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</row>
    <row r="256" spans="3:20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</row>
    <row r="257" spans="3:20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</row>
    <row r="258" spans="3:20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</row>
    <row r="259" spans="3:20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</row>
    <row r="260" spans="3:20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</row>
    <row r="261" spans="3:20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</row>
    <row r="262" spans="3:20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</row>
    <row r="263" spans="3:20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</row>
    <row r="264" spans="3:20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</row>
    <row r="265" spans="3:20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</row>
    <row r="266" spans="3:20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</row>
    <row r="267" spans="3:20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</row>
    <row r="268" spans="3:20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</row>
    <row r="269" spans="3:20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</row>
    <row r="270" spans="3:20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</row>
    <row r="271" spans="3:20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</row>
    <row r="272" spans="3:20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</row>
    <row r="273" spans="3:20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</row>
    <row r="274" spans="3:20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</row>
    <row r="275" spans="3:20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</row>
    <row r="276" spans="3:20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</row>
    <row r="277" spans="3:20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</row>
  </sheetData>
  <mergeCells count="1">
    <mergeCell ref="E144:P144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 tint="0.34998626667073579"/>
  </sheetPr>
  <dimension ref="A1:U277"/>
  <sheetViews>
    <sheetView workbookViewId="0"/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16" width="8.85546875" style="14"/>
    <col min="17" max="17" width="8.85546875" style="22"/>
    <col min="18" max="18" width="2.140625" style="28" customWidth="1"/>
    <col min="19" max="19" width="11.140625" style="339" bestFit="1" customWidth="1"/>
    <col min="20" max="20" width="2.140625" style="28" customWidth="1"/>
    <col min="21" max="21" width="11.140625" style="369" bestFit="1" customWidth="1"/>
    <col min="22" max="16384" width="8.85546875" style="14"/>
  </cols>
  <sheetData>
    <row r="1" spans="1:21" s="1" customFormat="1" ht="21" x14ac:dyDescent="0.35">
      <c r="A1" s="11" t="str">
        <f>'Rev &amp; Enroll'!$F$5</f>
        <v>Nevada State High School (Henderson)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29"/>
      <c r="T1" s="24"/>
      <c r="U1" s="279"/>
    </row>
    <row r="2" spans="1:21" s="1" customFormat="1" x14ac:dyDescent="0.25">
      <c r="A2" s="12" t="s">
        <v>524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330"/>
      <c r="T2" s="29"/>
      <c r="U2" s="361"/>
    </row>
    <row r="3" spans="1:21" s="6" customFormat="1" ht="13.5" customHeight="1" x14ac:dyDescent="0.2">
      <c r="A3" s="5" t="s">
        <v>526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331"/>
      <c r="T3" s="30"/>
      <c r="U3" s="280"/>
    </row>
    <row r="4" spans="1:21" s="9" customFormat="1" ht="29.45" customHeight="1" x14ac:dyDescent="0.25">
      <c r="C4" s="19"/>
      <c r="D4" s="10"/>
      <c r="E4" s="33">
        <v>43647</v>
      </c>
      <c r="F4" s="33">
        <f t="shared" ref="F4:P4" si="0">E4+31</f>
        <v>43678</v>
      </c>
      <c r="G4" s="33">
        <f t="shared" si="0"/>
        <v>43709</v>
      </c>
      <c r="H4" s="33">
        <f t="shared" si="0"/>
        <v>43740</v>
      </c>
      <c r="I4" s="33">
        <f t="shared" si="0"/>
        <v>43771</v>
      </c>
      <c r="J4" s="33">
        <f t="shared" si="0"/>
        <v>43802</v>
      </c>
      <c r="K4" s="33">
        <f t="shared" si="0"/>
        <v>43833</v>
      </c>
      <c r="L4" s="33">
        <f t="shared" si="0"/>
        <v>43864</v>
      </c>
      <c r="M4" s="33">
        <f t="shared" si="0"/>
        <v>43895</v>
      </c>
      <c r="N4" s="33">
        <f t="shared" si="0"/>
        <v>43926</v>
      </c>
      <c r="O4" s="33">
        <f t="shared" si="0"/>
        <v>43957</v>
      </c>
      <c r="P4" s="56">
        <f t="shared" si="0"/>
        <v>43988</v>
      </c>
      <c r="Q4" s="35" t="s">
        <v>54</v>
      </c>
      <c r="R4" s="26"/>
      <c r="S4" s="332" t="s">
        <v>55</v>
      </c>
      <c r="T4" s="26"/>
      <c r="U4" s="362" t="s">
        <v>529</v>
      </c>
    </row>
    <row r="5" spans="1:21" s="9" customFormat="1" ht="12" hidden="1" x14ac:dyDescent="0.2">
      <c r="C5" s="19"/>
      <c r="D5" s="209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5"/>
      <c r="R5" s="26"/>
      <c r="S5" s="340"/>
      <c r="T5" s="26"/>
      <c r="U5" s="363"/>
    </row>
    <row r="6" spans="1:21" s="37" customFormat="1" ht="11.45" customHeight="1" x14ac:dyDescent="0.2">
      <c r="A6" s="45" t="s">
        <v>58</v>
      </c>
      <c r="C6" s="38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41"/>
      <c r="S6" s="333"/>
      <c r="T6" s="41"/>
      <c r="U6" s="363"/>
    </row>
    <row r="7" spans="1:21" s="37" customFormat="1" ht="12" x14ac:dyDescent="0.2">
      <c r="A7" s="45"/>
      <c r="C7" s="49" t="s">
        <v>171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1"/>
      <c r="S7" s="333"/>
      <c r="T7" s="41"/>
      <c r="U7" s="363"/>
    </row>
    <row r="8" spans="1:21" s="37" customFormat="1" ht="12" x14ac:dyDescent="0.2">
      <c r="A8" s="45"/>
      <c r="C8" s="200">
        <v>1110</v>
      </c>
      <c r="D8" s="37" t="s">
        <v>0</v>
      </c>
      <c r="E8" s="189">
        <v>37810.080000000002</v>
      </c>
      <c r="F8" s="189">
        <v>37810.080000000002</v>
      </c>
      <c r="G8" s="189">
        <v>37810.080000000002</v>
      </c>
      <c r="H8" s="189">
        <v>37810.080000000002</v>
      </c>
      <c r="I8" s="189">
        <v>37810.080000000002</v>
      </c>
      <c r="J8" s="189">
        <v>37810.080000000002</v>
      </c>
      <c r="K8" s="189">
        <v>37810.080000000002</v>
      </c>
      <c r="L8" s="189">
        <v>37810.080000000002</v>
      </c>
      <c r="M8" s="189">
        <v>37810.080000000002</v>
      </c>
      <c r="N8" s="189">
        <v>37810.080000000002</v>
      </c>
      <c r="O8" s="189">
        <v>37810.080000000002</v>
      </c>
      <c r="P8" s="189">
        <v>37810.080000000002</v>
      </c>
      <c r="Q8" s="190"/>
      <c r="R8" s="187"/>
      <c r="S8" s="333">
        <f>SUM(E8:Q8)</f>
        <v>453720.96000000014</v>
      </c>
      <c r="T8" s="187"/>
      <c r="U8" s="363">
        <f>SUM(E8:L8)</f>
        <v>302480.64000000007</v>
      </c>
    </row>
    <row r="9" spans="1:21" s="37" customFormat="1" ht="12" x14ac:dyDescent="0.2">
      <c r="A9" s="45"/>
      <c r="C9" s="200">
        <v>1120</v>
      </c>
      <c r="D9" s="37" t="s">
        <v>1</v>
      </c>
      <c r="E9" s="67">
        <v>41533.799999999996</v>
      </c>
      <c r="F9" s="67">
        <v>41533.799999999996</v>
      </c>
      <c r="G9" s="67">
        <v>41533.799999999996</v>
      </c>
      <c r="H9" s="67">
        <v>41533.799999999996</v>
      </c>
      <c r="I9" s="67">
        <v>41533.799999999996</v>
      </c>
      <c r="J9" s="67">
        <v>41533.799999999996</v>
      </c>
      <c r="K9" s="67">
        <v>41533.799999999996</v>
      </c>
      <c r="L9" s="67">
        <v>41533.799999999996</v>
      </c>
      <c r="M9" s="67">
        <v>41533.799999999996</v>
      </c>
      <c r="N9" s="67">
        <v>41533.799999999996</v>
      </c>
      <c r="O9" s="67">
        <v>41533.799999999996</v>
      </c>
      <c r="P9" s="67">
        <v>41533.799999999996</v>
      </c>
      <c r="Q9" s="68"/>
      <c r="R9" s="41"/>
      <c r="S9" s="333">
        <f t="shared" ref="S9:S12" si="1">SUM(E9:Q9)</f>
        <v>498405.59999999992</v>
      </c>
      <c r="T9" s="41"/>
      <c r="U9" s="363">
        <f t="shared" ref="U9:U72" si="2">SUM(E9:L9)</f>
        <v>332270.39999999997</v>
      </c>
    </row>
    <row r="10" spans="1:21" s="37" customFormat="1" ht="12" x14ac:dyDescent="0.2">
      <c r="A10" s="45"/>
      <c r="C10" s="200">
        <v>1191</v>
      </c>
      <c r="D10" s="37" t="s">
        <v>2</v>
      </c>
      <c r="E10" s="67">
        <v>143.22</v>
      </c>
      <c r="F10" s="67">
        <v>143.22</v>
      </c>
      <c r="G10" s="67">
        <v>143.22</v>
      </c>
      <c r="H10" s="67">
        <v>143.22</v>
      </c>
      <c r="I10" s="67">
        <v>143.22</v>
      </c>
      <c r="J10" s="67">
        <v>143.22</v>
      </c>
      <c r="K10" s="67">
        <v>143.22</v>
      </c>
      <c r="L10" s="67">
        <v>143.22</v>
      </c>
      <c r="M10" s="67">
        <v>143.22</v>
      </c>
      <c r="N10" s="67">
        <v>143.22</v>
      </c>
      <c r="O10" s="67">
        <v>143.22</v>
      </c>
      <c r="P10" s="67">
        <v>143.22</v>
      </c>
      <c r="Q10" s="68"/>
      <c r="R10" s="41"/>
      <c r="S10" s="333">
        <f t="shared" si="1"/>
        <v>1718.64</v>
      </c>
      <c r="T10" s="41"/>
      <c r="U10" s="363">
        <f t="shared" si="2"/>
        <v>1145.76</v>
      </c>
    </row>
    <row r="11" spans="1:21" s="37" customFormat="1" ht="12" x14ac:dyDescent="0.2">
      <c r="A11" s="45"/>
      <c r="C11" s="200">
        <v>1192</v>
      </c>
      <c r="D11" s="37" t="s">
        <v>3</v>
      </c>
      <c r="E11" s="67">
        <v>4439.82</v>
      </c>
      <c r="F11" s="67">
        <v>4439.82</v>
      </c>
      <c r="G11" s="67">
        <v>4439.82</v>
      </c>
      <c r="H11" s="67">
        <v>4439.82</v>
      </c>
      <c r="I11" s="67">
        <v>4439.82</v>
      </c>
      <c r="J11" s="67">
        <v>4439.82</v>
      </c>
      <c r="K11" s="67">
        <v>4439.82</v>
      </c>
      <c r="L11" s="67">
        <v>4439.82</v>
      </c>
      <c r="M11" s="67">
        <v>4439.82</v>
      </c>
      <c r="N11" s="67">
        <v>4439.82</v>
      </c>
      <c r="O11" s="67">
        <v>4439.82</v>
      </c>
      <c r="P11" s="67">
        <v>4439.82</v>
      </c>
      <c r="Q11" s="68"/>
      <c r="R11" s="41"/>
      <c r="S11" s="333">
        <f t="shared" si="1"/>
        <v>53277.84</v>
      </c>
      <c r="T11" s="41"/>
      <c r="U11" s="363">
        <f t="shared" si="2"/>
        <v>35518.559999999998</v>
      </c>
    </row>
    <row r="12" spans="1:21" s="37" customFormat="1" ht="12" x14ac:dyDescent="0.2">
      <c r="A12" s="45"/>
      <c r="C12" s="200">
        <v>3110</v>
      </c>
      <c r="D12" s="37" t="s">
        <v>73</v>
      </c>
      <c r="E12" s="67">
        <v>59293.079999999994</v>
      </c>
      <c r="F12" s="67">
        <v>59293.079999999994</v>
      </c>
      <c r="G12" s="67">
        <v>59293.079999999994</v>
      </c>
      <c r="H12" s="67">
        <v>59293.079999999994</v>
      </c>
      <c r="I12" s="67">
        <v>59293.079999999994</v>
      </c>
      <c r="J12" s="67">
        <v>59293.079999999994</v>
      </c>
      <c r="K12" s="67">
        <v>59293.079999999994</v>
      </c>
      <c r="L12" s="67">
        <v>59293.079999999994</v>
      </c>
      <c r="M12" s="67">
        <v>59293.079999999994</v>
      </c>
      <c r="N12" s="67">
        <v>59293.079999999994</v>
      </c>
      <c r="O12" s="67">
        <v>59293.079999999994</v>
      </c>
      <c r="P12" s="67">
        <v>59293.079999999994</v>
      </c>
      <c r="Q12" s="68"/>
      <c r="R12" s="41"/>
      <c r="S12" s="333">
        <f t="shared" si="1"/>
        <v>711516.95999999985</v>
      </c>
      <c r="T12" s="41"/>
      <c r="U12" s="363">
        <f t="shared" si="2"/>
        <v>474344.64</v>
      </c>
    </row>
    <row r="13" spans="1:21" s="37" customFormat="1" ht="12" x14ac:dyDescent="0.2">
      <c r="A13" s="45"/>
      <c r="C13" s="38"/>
      <c r="E13" s="73">
        <f>SUBTOTAL(9,E8:E12)</f>
        <v>143220</v>
      </c>
      <c r="F13" s="73">
        <f t="shared" ref="F13:Q13" si="3">SUBTOTAL(9,F8:F12)</f>
        <v>143220</v>
      </c>
      <c r="G13" s="73">
        <f t="shared" si="3"/>
        <v>143220</v>
      </c>
      <c r="H13" s="73">
        <f t="shared" si="3"/>
        <v>143220</v>
      </c>
      <c r="I13" s="73">
        <f t="shared" si="3"/>
        <v>143220</v>
      </c>
      <c r="J13" s="73">
        <f t="shared" si="3"/>
        <v>143220</v>
      </c>
      <c r="K13" s="73">
        <f t="shared" si="3"/>
        <v>143220</v>
      </c>
      <c r="L13" s="73">
        <f t="shared" si="3"/>
        <v>143220</v>
      </c>
      <c r="M13" s="73">
        <f t="shared" si="3"/>
        <v>143220</v>
      </c>
      <c r="N13" s="73">
        <f t="shared" si="3"/>
        <v>143220</v>
      </c>
      <c r="O13" s="73">
        <f t="shared" si="3"/>
        <v>143220</v>
      </c>
      <c r="P13" s="73">
        <f t="shared" si="3"/>
        <v>143220</v>
      </c>
      <c r="Q13" s="73">
        <f t="shared" si="3"/>
        <v>0</v>
      </c>
      <c r="R13" s="41"/>
      <c r="S13" s="334">
        <f>SUBTOTAL(9,S8:S12)</f>
        <v>1718640</v>
      </c>
      <c r="T13" s="41"/>
      <c r="U13" s="364">
        <f t="shared" si="2"/>
        <v>1145760</v>
      </c>
    </row>
    <row r="14" spans="1:21" s="37" customFormat="1" ht="12" x14ac:dyDescent="0.2">
      <c r="A14" s="45"/>
      <c r="C14" s="49" t="s">
        <v>170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41"/>
      <c r="S14" s="333"/>
      <c r="T14" s="41"/>
      <c r="U14" s="363">
        <f t="shared" si="2"/>
        <v>0</v>
      </c>
    </row>
    <row r="15" spans="1:21" s="37" customFormat="1" ht="12" x14ac:dyDescent="0.2">
      <c r="A15" s="45"/>
      <c r="C15" s="200">
        <v>3115</v>
      </c>
      <c r="D15" s="37" t="s">
        <v>5</v>
      </c>
      <c r="E15" s="67">
        <v>864.39499999999998</v>
      </c>
      <c r="F15" s="67">
        <v>864.39499999999998</v>
      </c>
      <c r="G15" s="67">
        <v>864.39499999999998</v>
      </c>
      <c r="H15" s="67">
        <v>864.39499999999998</v>
      </c>
      <c r="I15" s="67">
        <v>864.39499999999998</v>
      </c>
      <c r="J15" s="67">
        <v>864.39499999999998</v>
      </c>
      <c r="K15" s="67">
        <v>864.39499999999998</v>
      </c>
      <c r="L15" s="67">
        <v>864.39499999999998</v>
      </c>
      <c r="M15" s="67">
        <v>864.39499999999998</v>
      </c>
      <c r="N15" s="67">
        <v>864.39499999999998</v>
      </c>
      <c r="O15" s="67">
        <v>864.39499999999998</v>
      </c>
      <c r="P15" s="67">
        <v>864.39499999999998</v>
      </c>
      <c r="Q15" s="68"/>
      <c r="R15" s="41"/>
      <c r="S15" s="333">
        <f t="shared" ref="S15:S21" si="4">SUM(E15:Q15)</f>
        <v>10372.740000000003</v>
      </c>
      <c r="T15" s="41"/>
      <c r="U15" s="363">
        <f t="shared" si="2"/>
        <v>6915.1600000000017</v>
      </c>
    </row>
    <row r="16" spans="1:21" s="37" customFormat="1" ht="12" x14ac:dyDescent="0.2">
      <c r="A16" s="45"/>
      <c r="C16" s="200">
        <v>3200</v>
      </c>
      <c r="D16" s="37" t="s">
        <v>6</v>
      </c>
      <c r="E16" s="67">
        <v>47.955000000000005</v>
      </c>
      <c r="F16" s="67">
        <v>47.955000000000005</v>
      </c>
      <c r="G16" s="67">
        <v>47.955000000000005</v>
      </c>
      <c r="H16" s="67">
        <v>47.955000000000005</v>
      </c>
      <c r="I16" s="67">
        <v>47.955000000000005</v>
      </c>
      <c r="J16" s="67">
        <v>47.955000000000005</v>
      </c>
      <c r="K16" s="67">
        <v>47.955000000000005</v>
      </c>
      <c r="L16" s="67">
        <v>47.955000000000005</v>
      </c>
      <c r="M16" s="67">
        <v>47.955000000000005</v>
      </c>
      <c r="N16" s="67">
        <v>47.955000000000005</v>
      </c>
      <c r="O16" s="67">
        <v>47.955000000000005</v>
      </c>
      <c r="P16" s="67">
        <v>47.955000000000005</v>
      </c>
      <c r="Q16" s="68"/>
      <c r="R16" s="41"/>
      <c r="S16" s="333">
        <f t="shared" si="4"/>
        <v>575.46</v>
      </c>
      <c r="T16" s="41"/>
      <c r="U16" s="363">
        <f t="shared" si="2"/>
        <v>383.64</v>
      </c>
    </row>
    <row r="17" spans="1:21" s="37" customFormat="1" ht="12" x14ac:dyDescent="0.2">
      <c r="A17" s="45"/>
      <c r="C17" s="38"/>
      <c r="E17" s="73">
        <f>SUBTOTAL(9,E15:E16)</f>
        <v>912.35</v>
      </c>
      <c r="F17" s="73">
        <f t="shared" ref="F17:S17" si="5">SUBTOTAL(9,F15:F16)</f>
        <v>912.35</v>
      </c>
      <c r="G17" s="73">
        <f t="shared" si="5"/>
        <v>912.35</v>
      </c>
      <c r="H17" s="73">
        <f t="shared" si="5"/>
        <v>912.35</v>
      </c>
      <c r="I17" s="73">
        <f t="shared" si="5"/>
        <v>912.35</v>
      </c>
      <c r="J17" s="73">
        <f t="shared" si="5"/>
        <v>912.35</v>
      </c>
      <c r="K17" s="73">
        <f t="shared" si="5"/>
        <v>912.35</v>
      </c>
      <c r="L17" s="73">
        <f t="shared" si="5"/>
        <v>912.35</v>
      </c>
      <c r="M17" s="73">
        <f t="shared" si="5"/>
        <v>912.35</v>
      </c>
      <c r="N17" s="73">
        <f t="shared" si="5"/>
        <v>912.35</v>
      </c>
      <c r="O17" s="73">
        <f t="shared" si="5"/>
        <v>912.35</v>
      </c>
      <c r="P17" s="73">
        <f t="shared" si="5"/>
        <v>912.35</v>
      </c>
      <c r="Q17" s="73">
        <f t="shared" si="5"/>
        <v>0</v>
      </c>
      <c r="R17" s="41"/>
      <c r="S17" s="334">
        <f t="shared" si="5"/>
        <v>10948.200000000004</v>
      </c>
      <c r="T17" s="41"/>
      <c r="U17" s="364">
        <f t="shared" si="2"/>
        <v>7298.8000000000011</v>
      </c>
    </row>
    <row r="18" spans="1:21" s="37" customFormat="1" ht="12" x14ac:dyDescent="0.2">
      <c r="A18" s="45"/>
      <c r="C18" s="49" t="s">
        <v>148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41"/>
      <c r="S18" s="333"/>
      <c r="T18" s="41"/>
      <c r="U18" s="363">
        <f t="shared" si="2"/>
        <v>0</v>
      </c>
    </row>
    <row r="19" spans="1:21" s="37" customFormat="1" ht="12" x14ac:dyDescent="0.2">
      <c r="A19" s="45"/>
      <c r="C19" s="200">
        <v>4500</v>
      </c>
      <c r="D19" s="37" t="s">
        <v>6</v>
      </c>
      <c r="E19" s="67">
        <f t="shared" ref="E19:P21" si="6">$W19/12</f>
        <v>0</v>
      </c>
      <c r="F19" s="67">
        <f t="shared" si="6"/>
        <v>0</v>
      </c>
      <c r="G19" s="67">
        <f t="shared" si="6"/>
        <v>0</v>
      </c>
      <c r="H19" s="67">
        <f t="shared" si="6"/>
        <v>0</v>
      </c>
      <c r="I19" s="67">
        <f t="shared" si="6"/>
        <v>0</v>
      </c>
      <c r="J19" s="67">
        <f t="shared" si="6"/>
        <v>0</v>
      </c>
      <c r="K19" s="67">
        <f t="shared" si="6"/>
        <v>0</v>
      </c>
      <c r="L19" s="67">
        <f t="shared" si="6"/>
        <v>0</v>
      </c>
      <c r="M19" s="67">
        <f t="shared" si="6"/>
        <v>0</v>
      </c>
      <c r="N19" s="67">
        <f t="shared" si="6"/>
        <v>0</v>
      </c>
      <c r="O19" s="67">
        <f t="shared" si="6"/>
        <v>0</v>
      </c>
      <c r="P19" s="67">
        <f t="shared" si="6"/>
        <v>0</v>
      </c>
      <c r="Q19" s="68"/>
      <c r="R19" s="41"/>
      <c r="S19" s="333">
        <f t="shared" si="4"/>
        <v>0</v>
      </c>
      <c r="T19" s="41"/>
      <c r="U19" s="363">
        <f t="shared" si="2"/>
        <v>0</v>
      </c>
    </row>
    <row r="20" spans="1:21" s="37" customFormat="1" ht="12" x14ac:dyDescent="0.2">
      <c r="A20" s="45"/>
      <c r="C20" s="200">
        <v>4571</v>
      </c>
      <c r="D20" s="37" t="s">
        <v>7</v>
      </c>
      <c r="E20" s="67">
        <f t="shared" si="6"/>
        <v>0</v>
      </c>
      <c r="F20" s="67">
        <f t="shared" si="6"/>
        <v>0</v>
      </c>
      <c r="G20" s="67">
        <f t="shared" si="6"/>
        <v>0</v>
      </c>
      <c r="H20" s="67">
        <f t="shared" si="6"/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0</v>
      </c>
      <c r="N20" s="67">
        <f t="shared" si="6"/>
        <v>0</v>
      </c>
      <c r="O20" s="67">
        <f t="shared" si="6"/>
        <v>0</v>
      </c>
      <c r="P20" s="67">
        <f t="shared" si="6"/>
        <v>0</v>
      </c>
      <c r="Q20" s="68"/>
      <c r="R20" s="41"/>
      <c r="S20" s="333">
        <f t="shared" si="4"/>
        <v>0</v>
      </c>
      <c r="T20" s="41"/>
      <c r="U20" s="365">
        <f t="shared" si="2"/>
        <v>0</v>
      </c>
    </row>
    <row r="21" spans="1:21" s="37" customFormat="1" ht="12" x14ac:dyDescent="0.2">
      <c r="A21" s="45"/>
      <c r="C21" s="38">
        <v>4703</v>
      </c>
      <c r="D21" s="37" t="s">
        <v>185</v>
      </c>
      <c r="E21" s="67">
        <f t="shared" si="6"/>
        <v>0</v>
      </c>
      <c r="F21" s="67">
        <f t="shared" si="6"/>
        <v>0</v>
      </c>
      <c r="G21" s="67">
        <f t="shared" si="6"/>
        <v>0</v>
      </c>
      <c r="H21" s="67">
        <f t="shared" si="6"/>
        <v>0</v>
      </c>
      <c r="I21" s="67">
        <f t="shared" si="6"/>
        <v>0</v>
      </c>
      <c r="J21" s="67">
        <f t="shared" si="6"/>
        <v>0</v>
      </c>
      <c r="K21" s="67">
        <f t="shared" si="6"/>
        <v>0</v>
      </c>
      <c r="L21" s="67">
        <f t="shared" si="6"/>
        <v>0</v>
      </c>
      <c r="M21" s="67">
        <f t="shared" si="6"/>
        <v>0</v>
      </c>
      <c r="N21" s="67">
        <f t="shared" si="6"/>
        <v>0</v>
      </c>
      <c r="O21" s="67">
        <f t="shared" si="6"/>
        <v>0</v>
      </c>
      <c r="P21" s="67">
        <f t="shared" si="6"/>
        <v>0</v>
      </c>
      <c r="Q21" s="68"/>
      <c r="R21" s="41"/>
      <c r="S21" s="333">
        <f t="shared" si="4"/>
        <v>0</v>
      </c>
      <c r="T21" s="41"/>
      <c r="U21" s="365">
        <f t="shared" si="2"/>
        <v>0</v>
      </c>
    </row>
    <row r="22" spans="1:21" s="37" customFormat="1" ht="12" x14ac:dyDescent="0.2">
      <c r="A22" s="45"/>
      <c r="C22" s="38"/>
      <c r="E22" s="73">
        <f>SUBTOTAL(9,E19:E21)</f>
        <v>0</v>
      </c>
      <c r="F22" s="73">
        <f t="shared" ref="F22:P22" si="7">SUBTOTAL(9,F19:F21)</f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7"/>
        <v>0</v>
      </c>
      <c r="O22" s="73">
        <f t="shared" si="7"/>
        <v>0</v>
      </c>
      <c r="P22" s="73">
        <f t="shared" si="7"/>
        <v>0</v>
      </c>
      <c r="Q22" s="73">
        <f>SUBTOTAL(9,Q19:Q21)</f>
        <v>0</v>
      </c>
      <c r="R22" s="41"/>
      <c r="S22" s="334">
        <f>SUBTOTAL(9,S19:S21)</f>
        <v>0</v>
      </c>
      <c r="T22" s="41"/>
      <c r="U22" s="364">
        <f t="shared" si="2"/>
        <v>0</v>
      </c>
    </row>
    <row r="23" spans="1:21" s="37" customFormat="1" ht="12" x14ac:dyDescent="0.2">
      <c r="A23" s="45"/>
      <c r="C23" s="49" t="s">
        <v>149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41"/>
      <c r="S23" s="335"/>
      <c r="T23" s="41"/>
      <c r="U23" s="365">
        <f t="shared" si="2"/>
        <v>0</v>
      </c>
    </row>
    <row r="24" spans="1:21" s="37" customFormat="1" ht="12" x14ac:dyDescent="0.2">
      <c r="A24" s="45"/>
      <c r="C24" s="200">
        <v>1790</v>
      </c>
      <c r="D24" s="37" t="s">
        <v>4</v>
      </c>
      <c r="E24" s="67">
        <f t="shared" ref="E24:P24" si="8">$W24/12</f>
        <v>0</v>
      </c>
      <c r="F24" s="67">
        <f t="shared" si="8"/>
        <v>0</v>
      </c>
      <c r="G24" s="67">
        <f t="shared" si="8"/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7">
        <f t="shared" si="8"/>
        <v>0</v>
      </c>
      <c r="N24" s="67">
        <f t="shared" si="8"/>
        <v>0</v>
      </c>
      <c r="O24" s="67">
        <f t="shared" si="8"/>
        <v>0</v>
      </c>
      <c r="P24" s="67">
        <f t="shared" si="8"/>
        <v>0</v>
      </c>
      <c r="Q24" s="68"/>
      <c r="R24" s="41"/>
      <c r="S24" s="333">
        <f>SUM(E24:Q24)</f>
        <v>0</v>
      </c>
      <c r="T24" s="41"/>
      <c r="U24" s="363">
        <f t="shared" si="2"/>
        <v>0</v>
      </c>
    </row>
    <row r="25" spans="1:21" s="37" customFormat="1" ht="12" x14ac:dyDescent="0.2">
      <c r="A25" s="45"/>
      <c r="C25" s="38"/>
      <c r="E25" s="73">
        <f>SUBTOTAL(9,E24)</f>
        <v>0</v>
      </c>
      <c r="F25" s="73">
        <f t="shared" ref="F25:S25" si="9">SUBTOTAL(9,F24)</f>
        <v>0</v>
      </c>
      <c r="G25" s="73">
        <f t="shared" si="9"/>
        <v>0</v>
      </c>
      <c r="H25" s="73">
        <f t="shared" si="9"/>
        <v>0</v>
      </c>
      <c r="I25" s="73">
        <f t="shared" si="9"/>
        <v>0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9"/>
        <v>0</v>
      </c>
      <c r="O25" s="73">
        <f t="shared" si="9"/>
        <v>0</v>
      </c>
      <c r="P25" s="73">
        <f t="shared" si="9"/>
        <v>0</v>
      </c>
      <c r="Q25" s="73">
        <f t="shared" si="9"/>
        <v>0</v>
      </c>
      <c r="R25" s="41"/>
      <c r="S25" s="334">
        <f t="shared" si="9"/>
        <v>0</v>
      </c>
      <c r="T25" s="41"/>
      <c r="U25" s="364">
        <f t="shared" si="2"/>
        <v>0</v>
      </c>
    </row>
    <row r="26" spans="1:21" s="37" customFormat="1" ht="9" customHeight="1" x14ac:dyDescent="0.2">
      <c r="A26" s="45"/>
      <c r="C26" s="3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41"/>
      <c r="S26" s="333"/>
      <c r="T26" s="41"/>
      <c r="U26" s="363">
        <f t="shared" si="2"/>
        <v>0</v>
      </c>
    </row>
    <row r="27" spans="1:21" s="45" customFormat="1" ht="12" x14ac:dyDescent="0.2">
      <c r="A27" s="45" t="s">
        <v>105</v>
      </c>
      <c r="C27" s="46"/>
      <c r="E27" s="71">
        <f t="shared" ref="E27:Q27" si="10">SUBTOTAL(9,E8:E26)</f>
        <v>144132.34999999998</v>
      </c>
      <c r="F27" s="71">
        <f t="shared" si="10"/>
        <v>144132.34999999998</v>
      </c>
      <c r="G27" s="71">
        <f t="shared" si="10"/>
        <v>144132.34999999998</v>
      </c>
      <c r="H27" s="71">
        <f t="shared" si="10"/>
        <v>144132.34999999998</v>
      </c>
      <c r="I27" s="71">
        <f t="shared" si="10"/>
        <v>144132.34999999998</v>
      </c>
      <c r="J27" s="71">
        <f t="shared" si="10"/>
        <v>144132.34999999998</v>
      </c>
      <c r="K27" s="71">
        <f t="shared" si="10"/>
        <v>144132.34999999998</v>
      </c>
      <c r="L27" s="71">
        <f t="shared" si="10"/>
        <v>144132.34999999998</v>
      </c>
      <c r="M27" s="71">
        <f t="shared" si="10"/>
        <v>144132.34999999998</v>
      </c>
      <c r="N27" s="71">
        <f t="shared" si="10"/>
        <v>144132.34999999998</v>
      </c>
      <c r="O27" s="71">
        <f t="shared" si="10"/>
        <v>144132.34999999998</v>
      </c>
      <c r="P27" s="71">
        <f t="shared" si="10"/>
        <v>144132.34999999998</v>
      </c>
      <c r="Q27" s="69">
        <f t="shared" si="10"/>
        <v>0</v>
      </c>
      <c r="R27" s="48"/>
      <c r="S27" s="336">
        <f>SUBTOTAL(9,S8:S26)</f>
        <v>1729588.2</v>
      </c>
      <c r="T27" s="48"/>
      <c r="U27" s="366">
        <f t="shared" si="2"/>
        <v>1153058.7999999998</v>
      </c>
    </row>
    <row r="28" spans="1:21" s="45" customFormat="1" ht="12" x14ac:dyDescent="0.2">
      <c r="C28" s="4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67"/>
      <c r="R28" s="48"/>
      <c r="S28" s="333"/>
      <c r="T28" s="48"/>
      <c r="U28" s="279">
        <f t="shared" si="2"/>
        <v>0</v>
      </c>
    </row>
    <row r="29" spans="1:21" s="37" customFormat="1" ht="12" x14ac:dyDescent="0.2">
      <c r="A29" s="45" t="s">
        <v>59</v>
      </c>
      <c r="C29" s="3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41"/>
      <c r="S29" s="333"/>
      <c r="T29" s="41"/>
      <c r="U29" s="363">
        <f t="shared" si="2"/>
        <v>0</v>
      </c>
    </row>
    <row r="30" spans="1:21" s="37" customFormat="1" ht="12" x14ac:dyDescent="0.2">
      <c r="C30" s="49" t="s">
        <v>8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41"/>
      <c r="S30" s="333"/>
      <c r="T30" s="41"/>
      <c r="U30" s="363">
        <f t="shared" si="2"/>
        <v>0</v>
      </c>
    </row>
    <row r="31" spans="1:21" s="37" customFormat="1" ht="12" x14ac:dyDescent="0.2">
      <c r="C31" s="200">
        <v>6111</v>
      </c>
      <c r="D31" s="37" t="s">
        <v>191</v>
      </c>
      <c r="E31" s="67">
        <v>15920.373333333335</v>
      </c>
      <c r="F31" s="67">
        <v>15920.373333333335</v>
      </c>
      <c r="G31" s="67">
        <v>15920.373333333335</v>
      </c>
      <c r="H31" s="67">
        <v>15920.373333333335</v>
      </c>
      <c r="I31" s="67">
        <v>15920.373333333335</v>
      </c>
      <c r="J31" s="67">
        <v>15920.373333333335</v>
      </c>
      <c r="K31" s="67">
        <v>15920.373333333335</v>
      </c>
      <c r="L31" s="67">
        <v>15920.373333333335</v>
      </c>
      <c r="M31" s="67">
        <v>15920.373333333335</v>
      </c>
      <c r="N31" s="67">
        <v>15920.373333333335</v>
      </c>
      <c r="O31" s="67">
        <v>15920.373333333335</v>
      </c>
      <c r="P31" s="67">
        <v>15920.373333333335</v>
      </c>
      <c r="Q31" s="68"/>
      <c r="R31" s="41"/>
      <c r="S31" s="333">
        <f t="shared" ref="S31:S40" si="11">SUM(E31:Q31)</f>
        <v>191044.47999999998</v>
      </c>
      <c r="T31" s="41"/>
      <c r="U31" s="363">
        <f t="shared" si="2"/>
        <v>127362.98666666668</v>
      </c>
    </row>
    <row r="32" spans="1:21" s="37" customFormat="1" ht="12" x14ac:dyDescent="0.2">
      <c r="C32" s="200">
        <v>6114</v>
      </c>
      <c r="D32" s="37" t="s">
        <v>192</v>
      </c>
      <c r="E32" s="67">
        <v>7867.1875</v>
      </c>
      <c r="F32" s="67">
        <v>7867.1875</v>
      </c>
      <c r="G32" s="67">
        <v>7867.1875</v>
      </c>
      <c r="H32" s="67">
        <v>7867.1875</v>
      </c>
      <c r="I32" s="67">
        <v>7867.1875</v>
      </c>
      <c r="J32" s="67">
        <v>7867.1875</v>
      </c>
      <c r="K32" s="67">
        <v>7867.1875</v>
      </c>
      <c r="L32" s="67">
        <v>7867.1875</v>
      </c>
      <c r="M32" s="67">
        <v>7867.1875</v>
      </c>
      <c r="N32" s="67">
        <v>7867.1875</v>
      </c>
      <c r="O32" s="67">
        <v>7867.1875</v>
      </c>
      <c r="P32" s="67">
        <v>7867.1875</v>
      </c>
      <c r="Q32" s="68"/>
      <c r="R32" s="41"/>
      <c r="S32" s="333">
        <f t="shared" si="11"/>
        <v>94406.25</v>
      </c>
      <c r="T32" s="41"/>
      <c r="U32" s="363">
        <f t="shared" si="2"/>
        <v>62937.5</v>
      </c>
    </row>
    <row r="33" spans="3:21" s="37" customFormat="1" ht="12" x14ac:dyDescent="0.2">
      <c r="C33" s="200">
        <v>6117</v>
      </c>
      <c r="D33" s="37" t="s">
        <v>228</v>
      </c>
      <c r="E33" s="67">
        <v>3520.0825</v>
      </c>
      <c r="F33" s="67">
        <v>3520.0825</v>
      </c>
      <c r="G33" s="67">
        <v>3520.0825</v>
      </c>
      <c r="H33" s="67">
        <v>3520.0825</v>
      </c>
      <c r="I33" s="67">
        <v>3520.0825</v>
      </c>
      <c r="J33" s="67">
        <v>3520.0825</v>
      </c>
      <c r="K33" s="67">
        <v>3520.0825</v>
      </c>
      <c r="L33" s="67">
        <v>3520.0825</v>
      </c>
      <c r="M33" s="67">
        <v>3520.0825</v>
      </c>
      <c r="N33" s="67">
        <v>3520.0825</v>
      </c>
      <c r="O33" s="67">
        <v>3520.0825</v>
      </c>
      <c r="P33" s="67">
        <v>3520.0825</v>
      </c>
      <c r="Q33" s="68"/>
      <c r="R33" s="41"/>
      <c r="S33" s="333">
        <f t="shared" si="11"/>
        <v>42240.989999999991</v>
      </c>
      <c r="T33" s="41"/>
      <c r="U33" s="363">
        <f t="shared" si="2"/>
        <v>28160.66</v>
      </c>
    </row>
    <row r="34" spans="3:21" s="37" customFormat="1" ht="12" x14ac:dyDescent="0.2">
      <c r="C34" s="200">
        <v>6127</v>
      </c>
      <c r="D34" s="37" t="s">
        <v>229</v>
      </c>
      <c r="E34" s="67">
        <v>4030</v>
      </c>
      <c r="F34" s="67">
        <v>4030</v>
      </c>
      <c r="G34" s="67">
        <v>4030</v>
      </c>
      <c r="H34" s="67">
        <v>4030</v>
      </c>
      <c r="I34" s="67">
        <v>4030</v>
      </c>
      <c r="J34" s="67">
        <v>4030</v>
      </c>
      <c r="K34" s="67">
        <v>4030</v>
      </c>
      <c r="L34" s="67">
        <v>4030</v>
      </c>
      <c r="M34" s="67">
        <v>4030</v>
      </c>
      <c r="N34" s="67">
        <v>4030</v>
      </c>
      <c r="O34" s="67">
        <v>4030</v>
      </c>
      <c r="P34" s="67">
        <v>4030</v>
      </c>
      <c r="Q34" s="68"/>
      <c r="R34" s="41"/>
      <c r="S34" s="333">
        <f t="shared" si="11"/>
        <v>48360</v>
      </c>
      <c r="T34" s="41"/>
      <c r="U34" s="363">
        <f t="shared" si="2"/>
        <v>32240</v>
      </c>
    </row>
    <row r="35" spans="3:21" s="37" customFormat="1" ht="12" x14ac:dyDescent="0.2">
      <c r="C35" s="200">
        <v>6151</v>
      </c>
      <c r="D35" s="37" t="s">
        <v>189</v>
      </c>
      <c r="E35" s="67">
        <v>850</v>
      </c>
      <c r="F35" s="67">
        <v>850</v>
      </c>
      <c r="G35" s="67">
        <v>850</v>
      </c>
      <c r="H35" s="67">
        <v>850</v>
      </c>
      <c r="I35" s="67">
        <v>850</v>
      </c>
      <c r="J35" s="67">
        <v>850</v>
      </c>
      <c r="K35" s="67">
        <v>850</v>
      </c>
      <c r="L35" s="67">
        <v>850</v>
      </c>
      <c r="M35" s="67">
        <v>850</v>
      </c>
      <c r="N35" s="67">
        <v>850</v>
      </c>
      <c r="O35" s="67">
        <v>850</v>
      </c>
      <c r="P35" s="67">
        <v>850</v>
      </c>
      <c r="Q35" s="68"/>
      <c r="R35" s="41"/>
      <c r="S35" s="333">
        <f t="shared" si="11"/>
        <v>10200</v>
      </c>
      <c r="T35" s="41"/>
      <c r="U35" s="363">
        <f t="shared" si="2"/>
        <v>6800</v>
      </c>
    </row>
    <row r="36" spans="3:21" s="37" customFormat="1" ht="12" x14ac:dyDescent="0.2">
      <c r="C36" s="200">
        <v>6154</v>
      </c>
      <c r="D36" s="37" t="s">
        <v>190</v>
      </c>
      <c r="E36" s="67">
        <v>771.875</v>
      </c>
      <c r="F36" s="67">
        <v>771.875</v>
      </c>
      <c r="G36" s="67">
        <v>771.875</v>
      </c>
      <c r="H36" s="67">
        <v>771.875</v>
      </c>
      <c r="I36" s="67">
        <v>771.875</v>
      </c>
      <c r="J36" s="67">
        <v>771.875</v>
      </c>
      <c r="K36" s="67">
        <v>771.875</v>
      </c>
      <c r="L36" s="67">
        <v>771.875</v>
      </c>
      <c r="M36" s="67">
        <v>771.875</v>
      </c>
      <c r="N36" s="67">
        <v>771.875</v>
      </c>
      <c r="O36" s="67">
        <v>771.875</v>
      </c>
      <c r="P36" s="67">
        <v>771.875</v>
      </c>
      <c r="Q36" s="68"/>
      <c r="R36" s="41"/>
      <c r="S36" s="333">
        <f t="shared" si="11"/>
        <v>9262.5</v>
      </c>
      <c r="T36" s="41"/>
      <c r="U36" s="363">
        <f t="shared" si="2"/>
        <v>6175</v>
      </c>
    </row>
    <row r="37" spans="3:21" s="37" customFormat="1" ht="12" x14ac:dyDescent="0.2">
      <c r="C37" s="200">
        <v>6157</v>
      </c>
      <c r="D37" s="37" t="s">
        <v>230</v>
      </c>
      <c r="E37" s="67">
        <v>250</v>
      </c>
      <c r="F37" s="67">
        <v>250</v>
      </c>
      <c r="G37" s="67">
        <v>250</v>
      </c>
      <c r="H37" s="67">
        <v>250</v>
      </c>
      <c r="I37" s="67">
        <v>250</v>
      </c>
      <c r="J37" s="67">
        <v>250</v>
      </c>
      <c r="K37" s="67">
        <v>250</v>
      </c>
      <c r="L37" s="67">
        <v>250</v>
      </c>
      <c r="M37" s="67">
        <v>250</v>
      </c>
      <c r="N37" s="67">
        <v>250</v>
      </c>
      <c r="O37" s="67">
        <v>250</v>
      </c>
      <c r="P37" s="67">
        <v>250</v>
      </c>
      <c r="Q37" s="68"/>
      <c r="R37" s="41"/>
      <c r="S37" s="333">
        <f t="shared" si="11"/>
        <v>3000</v>
      </c>
      <c r="T37" s="41"/>
      <c r="U37" s="363">
        <f t="shared" si="2"/>
        <v>2000</v>
      </c>
    </row>
    <row r="38" spans="3:21" s="37" customFormat="1" ht="12" x14ac:dyDescent="0.2">
      <c r="C38" s="200">
        <v>6161</v>
      </c>
      <c r="D38" s="37" t="s">
        <v>97</v>
      </c>
      <c r="E38" s="67">
        <v>112.5</v>
      </c>
      <c r="F38" s="67">
        <v>112.5</v>
      </c>
      <c r="G38" s="67">
        <v>112.5</v>
      </c>
      <c r="H38" s="67">
        <v>112.5</v>
      </c>
      <c r="I38" s="67">
        <v>112.5</v>
      </c>
      <c r="J38" s="67">
        <v>112.5</v>
      </c>
      <c r="K38" s="67">
        <v>112.5</v>
      </c>
      <c r="L38" s="67">
        <v>112.5</v>
      </c>
      <c r="M38" s="67">
        <v>112.5</v>
      </c>
      <c r="N38" s="67">
        <v>112.5</v>
      </c>
      <c r="O38" s="67">
        <v>112.5</v>
      </c>
      <c r="P38" s="67">
        <v>112.5</v>
      </c>
      <c r="Q38" s="68"/>
      <c r="R38" s="41"/>
      <c r="S38" s="333">
        <f t="shared" si="11"/>
        <v>1350</v>
      </c>
      <c r="T38" s="41"/>
      <c r="U38" s="363">
        <f t="shared" si="2"/>
        <v>900</v>
      </c>
    </row>
    <row r="39" spans="3:21" s="37" customFormat="1" ht="12" x14ac:dyDescent="0.2">
      <c r="C39" s="200">
        <v>6164</v>
      </c>
      <c r="D39" s="37" t="s">
        <v>98</v>
      </c>
      <c r="E39" s="67">
        <v>62.5</v>
      </c>
      <c r="F39" s="67">
        <v>62.5</v>
      </c>
      <c r="G39" s="67">
        <v>62.5</v>
      </c>
      <c r="H39" s="67">
        <v>62.5</v>
      </c>
      <c r="I39" s="67">
        <v>62.5</v>
      </c>
      <c r="J39" s="67">
        <v>62.5</v>
      </c>
      <c r="K39" s="67">
        <v>62.5</v>
      </c>
      <c r="L39" s="67">
        <v>62.5</v>
      </c>
      <c r="M39" s="67">
        <v>62.5</v>
      </c>
      <c r="N39" s="67">
        <v>62.5</v>
      </c>
      <c r="O39" s="67">
        <v>62.5</v>
      </c>
      <c r="P39" s="67">
        <v>62.5</v>
      </c>
      <c r="Q39" s="68"/>
      <c r="R39" s="41"/>
      <c r="S39" s="333">
        <f t="shared" si="11"/>
        <v>750</v>
      </c>
      <c r="T39" s="41"/>
      <c r="U39" s="363">
        <f t="shared" si="2"/>
        <v>500</v>
      </c>
    </row>
    <row r="40" spans="3:21" s="37" customFormat="1" ht="12" x14ac:dyDescent="0.2">
      <c r="C40" s="200">
        <v>6167</v>
      </c>
      <c r="D40" s="37" t="s">
        <v>231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8"/>
      <c r="R40" s="41"/>
      <c r="S40" s="333">
        <f t="shared" si="11"/>
        <v>0</v>
      </c>
      <c r="T40" s="41"/>
      <c r="U40" s="363">
        <f t="shared" si="2"/>
        <v>0</v>
      </c>
    </row>
    <row r="41" spans="3:21" s="37" customFormat="1" ht="12" x14ac:dyDescent="0.2">
      <c r="C41" s="38"/>
      <c r="E41" s="73">
        <f t="shared" ref="E41:Q41" si="12">SUBTOTAL(9,E31:E40)</f>
        <v>33384.518333333341</v>
      </c>
      <c r="F41" s="73">
        <f t="shared" si="12"/>
        <v>33384.518333333341</v>
      </c>
      <c r="G41" s="73">
        <f t="shared" si="12"/>
        <v>33384.518333333341</v>
      </c>
      <c r="H41" s="73">
        <f t="shared" si="12"/>
        <v>33384.518333333341</v>
      </c>
      <c r="I41" s="73">
        <f t="shared" si="12"/>
        <v>33384.518333333341</v>
      </c>
      <c r="J41" s="73">
        <f t="shared" si="12"/>
        <v>33384.518333333341</v>
      </c>
      <c r="K41" s="73">
        <f t="shared" si="12"/>
        <v>33384.518333333341</v>
      </c>
      <c r="L41" s="73">
        <f t="shared" si="12"/>
        <v>33384.518333333341</v>
      </c>
      <c r="M41" s="73">
        <f t="shared" si="12"/>
        <v>33384.518333333341</v>
      </c>
      <c r="N41" s="73">
        <f t="shared" si="12"/>
        <v>33384.518333333341</v>
      </c>
      <c r="O41" s="73">
        <f t="shared" si="12"/>
        <v>33384.518333333341</v>
      </c>
      <c r="P41" s="73">
        <f t="shared" si="12"/>
        <v>33384.518333333341</v>
      </c>
      <c r="Q41" s="73">
        <f t="shared" si="12"/>
        <v>0</v>
      </c>
      <c r="R41" s="41"/>
      <c r="S41" s="334">
        <f>SUBTOTAL(9,S31:S40)</f>
        <v>400614.22</v>
      </c>
      <c r="T41" s="41"/>
      <c r="U41" s="364">
        <f t="shared" si="2"/>
        <v>267076.14666666673</v>
      </c>
    </row>
    <row r="42" spans="3:21" s="37" customFormat="1" ht="12" x14ac:dyDescent="0.2">
      <c r="C42" s="49" t="s">
        <v>99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1"/>
      <c r="S42" s="333"/>
      <c r="T42" s="41"/>
      <c r="U42" s="363">
        <f t="shared" si="2"/>
        <v>0</v>
      </c>
    </row>
    <row r="43" spans="3:21" s="37" customFormat="1" ht="12" x14ac:dyDescent="0.2">
      <c r="C43" s="200">
        <v>6211</v>
      </c>
      <c r="D43" s="37" t="s">
        <v>198</v>
      </c>
      <c r="E43" s="67">
        <v>102</v>
      </c>
      <c r="F43" s="67">
        <v>102</v>
      </c>
      <c r="G43" s="67">
        <v>102</v>
      </c>
      <c r="H43" s="67">
        <v>102</v>
      </c>
      <c r="I43" s="67">
        <v>102</v>
      </c>
      <c r="J43" s="67">
        <v>102</v>
      </c>
      <c r="K43" s="67">
        <v>102</v>
      </c>
      <c r="L43" s="67">
        <v>102</v>
      </c>
      <c r="M43" s="67">
        <v>102</v>
      </c>
      <c r="N43" s="67">
        <v>102</v>
      </c>
      <c r="O43" s="67">
        <v>102</v>
      </c>
      <c r="P43" s="67">
        <v>102</v>
      </c>
      <c r="Q43" s="68"/>
      <c r="R43" s="41"/>
      <c r="S43" s="333">
        <f>SUM(E43:Q43)</f>
        <v>1224</v>
      </c>
      <c r="T43" s="41"/>
      <c r="U43" s="363">
        <f t="shared" si="2"/>
        <v>816</v>
      </c>
    </row>
    <row r="44" spans="3:21" s="37" customFormat="1" ht="12" x14ac:dyDescent="0.2">
      <c r="C44" s="200">
        <v>6214</v>
      </c>
      <c r="D44" s="37" t="s">
        <v>199</v>
      </c>
      <c r="E44" s="67">
        <v>44</v>
      </c>
      <c r="F44" s="67">
        <v>44</v>
      </c>
      <c r="G44" s="67">
        <v>44</v>
      </c>
      <c r="H44" s="67">
        <v>44</v>
      </c>
      <c r="I44" s="67">
        <v>44</v>
      </c>
      <c r="J44" s="67">
        <v>44</v>
      </c>
      <c r="K44" s="67">
        <v>44</v>
      </c>
      <c r="L44" s="67">
        <v>44</v>
      </c>
      <c r="M44" s="67">
        <v>44</v>
      </c>
      <c r="N44" s="67">
        <v>44</v>
      </c>
      <c r="O44" s="67">
        <v>44</v>
      </c>
      <c r="P44" s="67">
        <v>44</v>
      </c>
      <c r="Q44" s="68"/>
      <c r="R44" s="41"/>
      <c r="S44" s="333">
        <f t="shared" ref="S44:S61" si="13">SUM(E44:Q44)</f>
        <v>528</v>
      </c>
      <c r="T44" s="41"/>
      <c r="U44" s="363">
        <f t="shared" si="2"/>
        <v>352</v>
      </c>
    </row>
    <row r="45" spans="3:21" s="37" customFormat="1" ht="12" x14ac:dyDescent="0.2">
      <c r="C45" s="200">
        <v>6217</v>
      </c>
      <c r="D45" s="37" t="s">
        <v>222</v>
      </c>
      <c r="E45" s="67">
        <v>28.416666666666668</v>
      </c>
      <c r="F45" s="67">
        <v>28.416666666666668</v>
      </c>
      <c r="G45" s="67">
        <v>28.416666666666668</v>
      </c>
      <c r="H45" s="67">
        <v>28.416666666666668</v>
      </c>
      <c r="I45" s="67">
        <v>28.416666666666668</v>
      </c>
      <c r="J45" s="67">
        <v>28.416666666666668</v>
      </c>
      <c r="K45" s="67">
        <v>28.416666666666668</v>
      </c>
      <c r="L45" s="67">
        <v>28.416666666666668</v>
      </c>
      <c r="M45" s="67">
        <v>28.416666666666668</v>
      </c>
      <c r="N45" s="67">
        <v>28.416666666666668</v>
      </c>
      <c r="O45" s="67">
        <v>28.416666666666668</v>
      </c>
      <c r="P45" s="67">
        <v>28.416666666666668</v>
      </c>
      <c r="Q45" s="68"/>
      <c r="R45" s="41"/>
      <c r="S45" s="333">
        <f t="shared" si="13"/>
        <v>341</v>
      </c>
      <c r="T45" s="41"/>
      <c r="U45" s="363">
        <f t="shared" si="2"/>
        <v>227.33333333333331</v>
      </c>
    </row>
    <row r="46" spans="3:21" s="37" customFormat="1" ht="12" x14ac:dyDescent="0.2">
      <c r="C46" s="200">
        <v>6227</v>
      </c>
      <c r="D46" s="37" t="s">
        <v>221</v>
      </c>
      <c r="E46" s="67">
        <v>249.86</v>
      </c>
      <c r="F46" s="67">
        <v>249.86</v>
      </c>
      <c r="G46" s="67">
        <v>249.86</v>
      </c>
      <c r="H46" s="67">
        <v>249.86</v>
      </c>
      <c r="I46" s="67">
        <v>249.86</v>
      </c>
      <c r="J46" s="67">
        <v>249.86</v>
      </c>
      <c r="K46" s="67">
        <v>249.86</v>
      </c>
      <c r="L46" s="67">
        <v>249.86</v>
      </c>
      <c r="M46" s="67">
        <v>249.86</v>
      </c>
      <c r="N46" s="67">
        <v>249.86</v>
      </c>
      <c r="O46" s="67">
        <v>249.86</v>
      </c>
      <c r="P46" s="67">
        <v>249.86</v>
      </c>
      <c r="Q46" s="68"/>
      <c r="R46" s="41"/>
      <c r="S46" s="333">
        <f t="shared" si="13"/>
        <v>2998.3200000000011</v>
      </c>
      <c r="T46" s="41"/>
      <c r="U46" s="363">
        <f t="shared" si="2"/>
        <v>1998.8800000000006</v>
      </c>
    </row>
    <row r="47" spans="3:21" s="37" customFormat="1" ht="12" x14ac:dyDescent="0.2">
      <c r="C47" s="200">
        <v>6231</v>
      </c>
      <c r="D47" s="37" t="s">
        <v>205</v>
      </c>
      <c r="E47" s="67">
        <v>3301.4775000000004</v>
      </c>
      <c r="F47" s="67">
        <v>3301.4775000000004</v>
      </c>
      <c r="G47" s="67">
        <v>3301.4775000000004</v>
      </c>
      <c r="H47" s="67">
        <v>3301.4775000000004</v>
      </c>
      <c r="I47" s="67">
        <v>3301.4775000000004</v>
      </c>
      <c r="J47" s="67">
        <v>3301.4775000000004</v>
      </c>
      <c r="K47" s="67">
        <v>3301.4775000000004</v>
      </c>
      <c r="L47" s="67">
        <v>3301.4775000000004</v>
      </c>
      <c r="M47" s="67">
        <v>3301.4775000000004</v>
      </c>
      <c r="N47" s="67">
        <v>3301.4775000000004</v>
      </c>
      <c r="O47" s="67">
        <v>3301.4775000000004</v>
      </c>
      <c r="P47" s="67">
        <v>3301.4775000000004</v>
      </c>
      <c r="Q47" s="68"/>
      <c r="R47" s="41"/>
      <c r="S47" s="333">
        <f t="shared" si="13"/>
        <v>39617.730000000003</v>
      </c>
      <c r="T47" s="41"/>
      <c r="U47" s="363">
        <f t="shared" si="2"/>
        <v>26411.820000000003</v>
      </c>
    </row>
    <row r="48" spans="3:21" s="37" customFormat="1" ht="12" x14ac:dyDescent="0.2">
      <c r="C48" s="200">
        <v>6234</v>
      </c>
      <c r="D48" s="37" t="s">
        <v>206</v>
      </c>
      <c r="E48" s="67">
        <v>2301.1525000000001</v>
      </c>
      <c r="F48" s="67">
        <v>2301.1525000000001</v>
      </c>
      <c r="G48" s="67">
        <v>2301.1525000000001</v>
      </c>
      <c r="H48" s="67">
        <v>2301.1525000000001</v>
      </c>
      <c r="I48" s="67">
        <v>2301.1525000000001</v>
      </c>
      <c r="J48" s="67">
        <v>2301.1525000000001</v>
      </c>
      <c r="K48" s="67">
        <v>2301.1525000000001</v>
      </c>
      <c r="L48" s="67">
        <v>2301.1525000000001</v>
      </c>
      <c r="M48" s="67">
        <v>2301.1525000000001</v>
      </c>
      <c r="N48" s="67">
        <v>2301.1525000000001</v>
      </c>
      <c r="O48" s="67">
        <v>2301.1525000000001</v>
      </c>
      <c r="P48" s="67">
        <v>2301.1525000000001</v>
      </c>
      <c r="Q48" s="68"/>
      <c r="R48" s="41"/>
      <c r="S48" s="333">
        <f t="shared" si="13"/>
        <v>27613.83</v>
      </c>
      <c r="T48" s="41"/>
      <c r="U48" s="363">
        <f t="shared" si="2"/>
        <v>18409.22</v>
      </c>
    </row>
    <row r="49" spans="3:21" s="37" customFormat="1" ht="12" x14ac:dyDescent="0.2">
      <c r="C49" s="200">
        <v>6237</v>
      </c>
      <c r="D49" s="37" t="s">
        <v>223</v>
      </c>
      <c r="E49" s="67">
        <v>536.8125</v>
      </c>
      <c r="F49" s="67">
        <v>536.8125</v>
      </c>
      <c r="G49" s="67">
        <v>536.8125</v>
      </c>
      <c r="H49" s="67">
        <v>536.8125</v>
      </c>
      <c r="I49" s="67">
        <v>536.8125</v>
      </c>
      <c r="J49" s="67">
        <v>536.8125</v>
      </c>
      <c r="K49" s="67">
        <v>536.8125</v>
      </c>
      <c r="L49" s="67">
        <v>536.8125</v>
      </c>
      <c r="M49" s="67">
        <v>536.8125</v>
      </c>
      <c r="N49" s="67">
        <v>536.8125</v>
      </c>
      <c r="O49" s="67">
        <v>536.8125</v>
      </c>
      <c r="P49" s="67">
        <v>536.8125</v>
      </c>
      <c r="Q49" s="68"/>
      <c r="R49" s="41"/>
      <c r="S49" s="333">
        <f t="shared" si="13"/>
        <v>6441.75</v>
      </c>
      <c r="T49" s="41"/>
      <c r="U49" s="363">
        <f t="shared" si="2"/>
        <v>4294.5</v>
      </c>
    </row>
    <row r="50" spans="3:21" s="37" customFormat="1" ht="12" x14ac:dyDescent="0.2">
      <c r="C50" s="200">
        <v>6241</v>
      </c>
      <c r="D50" s="37" t="s">
        <v>196</v>
      </c>
      <c r="E50" s="67">
        <v>244.80166666666665</v>
      </c>
      <c r="F50" s="67">
        <v>244.80166666666665</v>
      </c>
      <c r="G50" s="67">
        <v>244.80166666666665</v>
      </c>
      <c r="H50" s="67">
        <v>244.80166666666665</v>
      </c>
      <c r="I50" s="67">
        <v>244.80166666666665</v>
      </c>
      <c r="J50" s="67">
        <v>244.80166666666665</v>
      </c>
      <c r="K50" s="67">
        <v>244.80166666666665</v>
      </c>
      <c r="L50" s="67">
        <v>244.80166666666665</v>
      </c>
      <c r="M50" s="67">
        <v>244.80166666666665</v>
      </c>
      <c r="N50" s="67">
        <v>244.80166666666665</v>
      </c>
      <c r="O50" s="67">
        <v>244.80166666666665</v>
      </c>
      <c r="P50" s="67">
        <v>244.80166666666665</v>
      </c>
      <c r="Q50" s="68"/>
      <c r="R50" s="41"/>
      <c r="S50" s="333">
        <f t="shared" si="13"/>
        <v>2937.6200000000003</v>
      </c>
      <c r="T50" s="41"/>
      <c r="U50" s="363">
        <f t="shared" si="2"/>
        <v>1958.4133333333334</v>
      </c>
    </row>
    <row r="51" spans="3:21" s="37" customFormat="1" ht="12" x14ac:dyDescent="0.2">
      <c r="C51" s="200">
        <v>6244</v>
      </c>
      <c r="D51" s="37" t="s">
        <v>197</v>
      </c>
      <c r="E51" s="67">
        <v>121.50583333333333</v>
      </c>
      <c r="F51" s="67">
        <v>121.50583333333333</v>
      </c>
      <c r="G51" s="67">
        <v>121.50583333333333</v>
      </c>
      <c r="H51" s="67">
        <v>121.50583333333333</v>
      </c>
      <c r="I51" s="67">
        <v>121.50583333333333</v>
      </c>
      <c r="J51" s="67">
        <v>121.50583333333333</v>
      </c>
      <c r="K51" s="67">
        <v>121.50583333333333</v>
      </c>
      <c r="L51" s="67">
        <v>121.50583333333333</v>
      </c>
      <c r="M51" s="67">
        <v>121.50583333333333</v>
      </c>
      <c r="N51" s="67">
        <v>121.50583333333333</v>
      </c>
      <c r="O51" s="67">
        <v>121.50583333333333</v>
      </c>
      <c r="P51" s="67">
        <v>121.50583333333333</v>
      </c>
      <c r="Q51" s="68"/>
      <c r="R51" s="41"/>
      <c r="S51" s="333">
        <f t="shared" si="13"/>
        <v>1458.0700000000004</v>
      </c>
      <c r="T51" s="41"/>
      <c r="U51" s="363">
        <f t="shared" si="2"/>
        <v>972.04666666666685</v>
      </c>
    </row>
    <row r="52" spans="3:21" s="37" customFormat="1" ht="12" x14ac:dyDescent="0.2">
      <c r="C52" s="200">
        <v>6247</v>
      </c>
      <c r="D52" s="37" t="s">
        <v>224</v>
      </c>
      <c r="E52" s="67">
        <v>113.10083333333334</v>
      </c>
      <c r="F52" s="67">
        <v>113.10083333333334</v>
      </c>
      <c r="G52" s="67">
        <v>113.10083333333334</v>
      </c>
      <c r="H52" s="67">
        <v>113.10083333333334</v>
      </c>
      <c r="I52" s="67">
        <v>113.10083333333334</v>
      </c>
      <c r="J52" s="67">
        <v>113.10083333333334</v>
      </c>
      <c r="K52" s="67">
        <v>113.10083333333334</v>
      </c>
      <c r="L52" s="67">
        <v>113.10083333333334</v>
      </c>
      <c r="M52" s="67">
        <v>113.10083333333334</v>
      </c>
      <c r="N52" s="67">
        <v>113.10083333333334</v>
      </c>
      <c r="O52" s="67">
        <v>113.10083333333334</v>
      </c>
      <c r="P52" s="67">
        <v>113.10083333333334</v>
      </c>
      <c r="Q52" s="68"/>
      <c r="R52" s="41"/>
      <c r="S52" s="333">
        <f t="shared" si="13"/>
        <v>1357.21</v>
      </c>
      <c r="T52" s="41"/>
      <c r="U52" s="363">
        <f t="shared" si="2"/>
        <v>904.80666666666662</v>
      </c>
    </row>
    <row r="53" spans="3:21" s="37" customFormat="1" ht="12" x14ac:dyDescent="0.2">
      <c r="C53" s="200">
        <v>6261</v>
      </c>
      <c r="D53" s="37" t="s">
        <v>207</v>
      </c>
      <c r="E53" s="67">
        <v>117</v>
      </c>
      <c r="F53" s="67">
        <v>117</v>
      </c>
      <c r="G53" s="67">
        <v>117</v>
      </c>
      <c r="H53" s="67">
        <v>117</v>
      </c>
      <c r="I53" s="67">
        <v>117</v>
      </c>
      <c r="J53" s="67">
        <v>117</v>
      </c>
      <c r="K53" s="67">
        <v>117</v>
      </c>
      <c r="L53" s="67">
        <v>117</v>
      </c>
      <c r="M53" s="67">
        <v>117</v>
      </c>
      <c r="N53" s="67">
        <v>117</v>
      </c>
      <c r="O53" s="67">
        <v>117</v>
      </c>
      <c r="P53" s="67">
        <v>117</v>
      </c>
      <c r="Q53" s="68"/>
      <c r="R53" s="41"/>
      <c r="S53" s="333">
        <f t="shared" si="13"/>
        <v>1404</v>
      </c>
      <c r="T53" s="41"/>
      <c r="U53" s="363">
        <f t="shared" si="2"/>
        <v>936</v>
      </c>
    </row>
    <row r="54" spans="3:21" s="37" customFormat="1" ht="12" x14ac:dyDescent="0.2">
      <c r="C54" s="200">
        <v>6264</v>
      </c>
      <c r="D54" s="37" t="s">
        <v>208</v>
      </c>
      <c r="E54" s="67">
        <v>39</v>
      </c>
      <c r="F54" s="67">
        <v>39</v>
      </c>
      <c r="G54" s="67">
        <v>39</v>
      </c>
      <c r="H54" s="67">
        <v>39</v>
      </c>
      <c r="I54" s="67">
        <v>39</v>
      </c>
      <c r="J54" s="67">
        <v>39</v>
      </c>
      <c r="K54" s="67">
        <v>39</v>
      </c>
      <c r="L54" s="67">
        <v>39</v>
      </c>
      <c r="M54" s="67">
        <v>39</v>
      </c>
      <c r="N54" s="67">
        <v>39</v>
      </c>
      <c r="O54" s="67">
        <v>39</v>
      </c>
      <c r="P54" s="67">
        <v>39</v>
      </c>
      <c r="Q54" s="68"/>
      <c r="R54" s="41"/>
      <c r="S54" s="333">
        <f t="shared" si="13"/>
        <v>468</v>
      </c>
      <c r="T54" s="41"/>
      <c r="U54" s="363">
        <f t="shared" si="2"/>
        <v>312</v>
      </c>
    </row>
    <row r="55" spans="3:21" s="37" customFormat="1" ht="12" x14ac:dyDescent="0.2">
      <c r="C55" s="200">
        <v>6267</v>
      </c>
      <c r="D55" s="37" t="s">
        <v>225</v>
      </c>
      <c r="E55" s="67">
        <v>99.45</v>
      </c>
      <c r="F55" s="67">
        <v>99.45</v>
      </c>
      <c r="G55" s="67">
        <v>99.45</v>
      </c>
      <c r="H55" s="67">
        <v>99.45</v>
      </c>
      <c r="I55" s="67">
        <v>99.45</v>
      </c>
      <c r="J55" s="67">
        <v>99.45</v>
      </c>
      <c r="K55" s="67">
        <v>99.45</v>
      </c>
      <c r="L55" s="67">
        <v>99.45</v>
      </c>
      <c r="M55" s="67">
        <v>99.45</v>
      </c>
      <c r="N55" s="67">
        <v>99.45</v>
      </c>
      <c r="O55" s="67">
        <v>99.45</v>
      </c>
      <c r="P55" s="67">
        <v>99.45</v>
      </c>
      <c r="Q55" s="68"/>
      <c r="R55" s="41"/>
      <c r="S55" s="333">
        <f t="shared" si="13"/>
        <v>1193.4000000000003</v>
      </c>
      <c r="T55" s="41"/>
      <c r="U55" s="363">
        <f t="shared" si="2"/>
        <v>795.60000000000014</v>
      </c>
    </row>
    <row r="56" spans="3:21" s="37" customFormat="1" ht="12" x14ac:dyDescent="0.2">
      <c r="C56" s="200">
        <v>6271</v>
      </c>
      <c r="D56" s="37" t="s">
        <v>209</v>
      </c>
      <c r="E56" s="67">
        <v>109.73833333333333</v>
      </c>
      <c r="F56" s="67">
        <v>109.73833333333333</v>
      </c>
      <c r="G56" s="67">
        <v>109.73833333333333</v>
      </c>
      <c r="H56" s="67">
        <v>109.73833333333333</v>
      </c>
      <c r="I56" s="67">
        <v>109.73833333333333</v>
      </c>
      <c r="J56" s="67">
        <v>109.73833333333333</v>
      </c>
      <c r="K56" s="67">
        <v>109.73833333333333</v>
      </c>
      <c r="L56" s="67">
        <v>109.73833333333333</v>
      </c>
      <c r="M56" s="67">
        <v>109.73833333333333</v>
      </c>
      <c r="N56" s="67">
        <v>109.73833333333333</v>
      </c>
      <c r="O56" s="67">
        <v>109.73833333333333</v>
      </c>
      <c r="P56" s="67">
        <v>109.73833333333333</v>
      </c>
      <c r="Q56" s="68"/>
      <c r="R56" s="41"/>
      <c r="S56" s="333">
        <f t="shared" si="13"/>
        <v>1316.8599999999997</v>
      </c>
      <c r="T56" s="41"/>
      <c r="U56" s="363">
        <f t="shared" si="2"/>
        <v>877.90666666666664</v>
      </c>
    </row>
    <row r="57" spans="3:21" s="37" customFormat="1" ht="12" x14ac:dyDescent="0.2">
      <c r="C57" s="200">
        <v>6274</v>
      </c>
      <c r="D57" s="37" t="s">
        <v>210</v>
      </c>
      <c r="E57" s="67">
        <v>54.468333333333334</v>
      </c>
      <c r="F57" s="67">
        <v>54.468333333333334</v>
      </c>
      <c r="G57" s="67">
        <v>54.468333333333334</v>
      </c>
      <c r="H57" s="67">
        <v>54.468333333333334</v>
      </c>
      <c r="I57" s="67">
        <v>54.468333333333334</v>
      </c>
      <c r="J57" s="67">
        <v>54.468333333333334</v>
      </c>
      <c r="K57" s="67">
        <v>54.468333333333334</v>
      </c>
      <c r="L57" s="67">
        <v>54.468333333333334</v>
      </c>
      <c r="M57" s="67">
        <v>54.468333333333334</v>
      </c>
      <c r="N57" s="67">
        <v>54.468333333333334</v>
      </c>
      <c r="O57" s="67">
        <v>54.468333333333334</v>
      </c>
      <c r="P57" s="67">
        <v>54.468333333333334</v>
      </c>
      <c r="Q57" s="68"/>
      <c r="R57" s="41"/>
      <c r="S57" s="333">
        <f t="shared" si="13"/>
        <v>653.62000000000023</v>
      </c>
      <c r="T57" s="41"/>
      <c r="U57" s="363">
        <f t="shared" si="2"/>
        <v>435.74666666666678</v>
      </c>
    </row>
    <row r="58" spans="3:21" s="37" customFormat="1" ht="12" x14ac:dyDescent="0.2">
      <c r="C58" s="200">
        <v>6277</v>
      </c>
      <c r="D58" s="37" t="s">
        <v>226</v>
      </c>
      <c r="E58" s="67">
        <v>50.700833333333328</v>
      </c>
      <c r="F58" s="67">
        <v>50.700833333333328</v>
      </c>
      <c r="G58" s="67">
        <v>50.700833333333328</v>
      </c>
      <c r="H58" s="67">
        <v>50.700833333333328</v>
      </c>
      <c r="I58" s="67">
        <v>50.700833333333328</v>
      </c>
      <c r="J58" s="67">
        <v>50.700833333333328</v>
      </c>
      <c r="K58" s="67">
        <v>50.700833333333328</v>
      </c>
      <c r="L58" s="67">
        <v>50.700833333333328</v>
      </c>
      <c r="M58" s="67">
        <v>50.700833333333328</v>
      </c>
      <c r="N58" s="67">
        <v>50.700833333333328</v>
      </c>
      <c r="O58" s="67">
        <v>50.700833333333328</v>
      </c>
      <c r="P58" s="67">
        <v>50.700833333333328</v>
      </c>
      <c r="Q58" s="68"/>
      <c r="R58" s="41"/>
      <c r="S58" s="333">
        <f t="shared" si="13"/>
        <v>608.41</v>
      </c>
      <c r="T58" s="41"/>
      <c r="U58" s="363">
        <f t="shared" si="2"/>
        <v>405.60666666666663</v>
      </c>
    </row>
    <row r="59" spans="3:21" s="37" customFormat="1" ht="12" x14ac:dyDescent="0.2">
      <c r="C59" s="200">
        <v>6281</v>
      </c>
      <c r="D59" s="37" t="s">
        <v>193</v>
      </c>
      <c r="E59" s="67">
        <v>1147.5</v>
      </c>
      <c r="F59" s="67">
        <v>1147.5</v>
      </c>
      <c r="G59" s="67">
        <v>1147.5</v>
      </c>
      <c r="H59" s="67">
        <v>1147.5</v>
      </c>
      <c r="I59" s="67">
        <v>1147.5</v>
      </c>
      <c r="J59" s="67">
        <v>1147.5</v>
      </c>
      <c r="K59" s="67">
        <v>1147.5</v>
      </c>
      <c r="L59" s="67">
        <v>1147.5</v>
      </c>
      <c r="M59" s="67">
        <v>1147.5</v>
      </c>
      <c r="N59" s="67">
        <v>1147.5</v>
      </c>
      <c r="O59" s="67">
        <v>1147.5</v>
      </c>
      <c r="P59" s="67">
        <v>1147.5</v>
      </c>
      <c r="Q59" s="68"/>
      <c r="R59" s="41"/>
      <c r="S59" s="333">
        <f t="shared" si="13"/>
        <v>13770</v>
      </c>
      <c r="T59" s="41"/>
      <c r="U59" s="363">
        <f t="shared" si="2"/>
        <v>9180</v>
      </c>
    </row>
    <row r="60" spans="3:21" s="37" customFormat="1" ht="12" x14ac:dyDescent="0.2">
      <c r="C60" s="200">
        <v>6284</v>
      </c>
      <c r="D60" s="37" t="s">
        <v>194</v>
      </c>
      <c r="E60" s="67">
        <v>605</v>
      </c>
      <c r="F60" s="67">
        <v>605</v>
      </c>
      <c r="G60" s="67">
        <v>605</v>
      </c>
      <c r="H60" s="67">
        <v>605</v>
      </c>
      <c r="I60" s="67">
        <v>605</v>
      </c>
      <c r="J60" s="67">
        <v>605</v>
      </c>
      <c r="K60" s="67">
        <v>605</v>
      </c>
      <c r="L60" s="67">
        <v>605</v>
      </c>
      <c r="M60" s="67">
        <v>605</v>
      </c>
      <c r="N60" s="67">
        <v>605</v>
      </c>
      <c r="O60" s="67">
        <v>605</v>
      </c>
      <c r="P60" s="67">
        <v>605</v>
      </c>
      <c r="Q60" s="68"/>
      <c r="R60" s="41"/>
      <c r="S60" s="333">
        <f t="shared" si="13"/>
        <v>7260</v>
      </c>
      <c r="T60" s="41"/>
      <c r="U60" s="363">
        <f t="shared" si="2"/>
        <v>4840</v>
      </c>
    </row>
    <row r="61" spans="3:21" s="37" customFormat="1" ht="12" x14ac:dyDescent="0.2">
      <c r="C61" s="200">
        <v>6287</v>
      </c>
      <c r="D61" s="37" t="s">
        <v>227</v>
      </c>
      <c r="E61" s="67">
        <v>371.25</v>
      </c>
      <c r="F61" s="67">
        <v>371.25</v>
      </c>
      <c r="G61" s="67">
        <v>371.25</v>
      </c>
      <c r="H61" s="67">
        <v>371.25</v>
      </c>
      <c r="I61" s="67">
        <v>371.25</v>
      </c>
      <c r="J61" s="67">
        <v>371.25</v>
      </c>
      <c r="K61" s="67">
        <v>371.25</v>
      </c>
      <c r="L61" s="67">
        <v>371.25</v>
      </c>
      <c r="M61" s="67">
        <v>371.25</v>
      </c>
      <c r="N61" s="67">
        <v>371.25</v>
      </c>
      <c r="O61" s="67">
        <v>371.25</v>
      </c>
      <c r="P61" s="67">
        <v>371.25</v>
      </c>
      <c r="Q61" s="68"/>
      <c r="R61" s="41"/>
      <c r="S61" s="333">
        <f t="shared" si="13"/>
        <v>4455</v>
      </c>
      <c r="T61" s="41"/>
      <c r="U61" s="363">
        <f t="shared" si="2"/>
        <v>2970</v>
      </c>
    </row>
    <row r="62" spans="3:21" s="37" customFormat="1" ht="12" x14ac:dyDescent="0.2">
      <c r="C62" s="38"/>
      <c r="E62" s="73">
        <f t="shared" ref="E62:Q62" si="14">SUBTOTAL(9,E43:E61)</f>
        <v>9637.2350000000006</v>
      </c>
      <c r="F62" s="73">
        <f t="shared" si="14"/>
        <v>9637.2350000000006</v>
      </c>
      <c r="G62" s="73">
        <f t="shared" si="14"/>
        <v>9637.2350000000006</v>
      </c>
      <c r="H62" s="73">
        <f t="shared" si="14"/>
        <v>9637.2350000000006</v>
      </c>
      <c r="I62" s="73">
        <f t="shared" si="14"/>
        <v>9637.2350000000006</v>
      </c>
      <c r="J62" s="73">
        <f t="shared" si="14"/>
        <v>9637.2350000000006</v>
      </c>
      <c r="K62" s="73">
        <f t="shared" si="14"/>
        <v>9637.2350000000006</v>
      </c>
      <c r="L62" s="73">
        <f t="shared" si="14"/>
        <v>9637.2350000000006</v>
      </c>
      <c r="M62" s="73">
        <f t="shared" si="14"/>
        <v>9637.2350000000006</v>
      </c>
      <c r="N62" s="73">
        <f t="shared" si="14"/>
        <v>9637.2350000000006</v>
      </c>
      <c r="O62" s="73">
        <f t="shared" si="14"/>
        <v>9637.2350000000006</v>
      </c>
      <c r="P62" s="73">
        <f t="shared" si="14"/>
        <v>9637.2350000000006</v>
      </c>
      <c r="Q62" s="73">
        <f t="shared" si="14"/>
        <v>0</v>
      </c>
      <c r="R62" s="41"/>
      <c r="S62" s="334">
        <f>SUBTOTAL(9,S43:S61)</f>
        <v>115646.82</v>
      </c>
      <c r="T62" s="41"/>
      <c r="U62" s="364">
        <f t="shared" si="2"/>
        <v>77097.88</v>
      </c>
    </row>
    <row r="63" spans="3:21" s="37" customFormat="1" ht="12" x14ac:dyDescent="0.2">
      <c r="C63" s="49" t="s">
        <v>9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1"/>
      <c r="S63" s="333"/>
      <c r="T63" s="41"/>
      <c r="U63" s="363">
        <f t="shared" si="2"/>
        <v>0</v>
      </c>
    </row>
    <row r="64" spans="3:21" s="37" customFormat="1" ht="12" x14ac:dyDescent="0.2">
      <c r="C64" s="200">
        <v>6300</v>
      </c>
      <c r="D64" s="37" t="s">
        <v>9</v>
      </c>
      <c r="E64" s="67">
        <v>524.16666666666663</v>
      </c>
      <c r="F64" s="67">
        <v>524.16666666666663</v>
      </c>
      <c r="G64" s="67">
        <v>524.16666666666663</v>
      </c>
      <c r="H64" s="67">
        <v>524.16666666666663</v>
      </c>
      <c r="I64" s="67">
        <v>524.16666666666663</v>
      </c>
      <c r="J64" s="67">
        <v>524.16666666666663</v>
      </c>
      <c r="K64" s="67">
        <v>524.16666666666663</v>
      </c>
      <c r="L64" s="67">
        <v>524.16666666666663</v>
      </c>
      <c r="M64" s="67">
        <v>524.16666666666663</v>
      </c>
      <c r="N64" s="67">
        <v>524.16666666666663</v>
      </c>
      <c r="O64" s="67">
        <v>524.16666666666663</v>
      </c>
      <c r="P64" s="67">
        <v>524.16666666666663</v>
      </c>
      <c r="Q64" s="68"/>
      <c r="R64" s="41"/>
      <c r="S64" s="333">
        <f t="shared" ref="S64:S73" si="15">SUM(E64:Q64)</f>
        <v>6290.0000000000009</v>
      </c>
      <c r="T64" s="41"/>
      <c r="U64" s="363">
        <f t="shared" si="2"/>
        <v>4193.333333333333</v>
      </c>
    </row>
    <row r="65" spans="3:21" s="37" customFormat="1" ht="12" x14ac:dyDescent="0.2">
      <c r="C65" s="200">
        <v>6320</v>
      </c>
      <c r="D65" s="37" t="s">
        <v>10</v>
      </c>
      <c r="E65" s="67">
        <v>583.33333333333337</v>
      </c>
      <c r="F65" s="67">
        <v>583.33333333333337</v>
      </c>
      <c r="G65" s="67">
        <v>583.33333333333337</v>
      </c>
      <c r="H65" s="67">
        <v>583.33333333333337</v>
      </c>
      <c r="I65" s="67">
        <v>583.33333333333337</v>
      </c>
      <c r="J65" s="67">
        <v>583.33333333333337</v>
      </c>
      <c r="K65" s="67">
        <v>583.33333333333337</v>
      </c>
      <c r="L65" s="67">
        <v>583.33333333333337</v>
      </c>
      <c r="M65" s="67">
        <v>583.33333333333337</v>
      </c>
      <c r="N65" s="67">
        <v>583.33333333333337</v>
      </c>
      <c r="O65" s="67">
        <v>583.33333333333337</v>
      </c>
      <c r="P65" s="67">
        <v>583.33333333333337</v>
      </c>
      <c r="Q65" s="68"/>
      <c r="R65" s="41"/>
      <c r="S65" s="333">
        <f t="shared" si="15"/>
        <v>6999.9999999999991</v>
      </c>
      <c r="T65" s="41"/>
      <c r="U65" s="363">
        <f t="shared" si="2"/>
        <v>4666.666666666667</v>
      </c>
    </row>
    <row r="66" spans="3:21" s="37" customFormat="1" ht="12" x14ac:dyDescent="0.2">
      <c r="C66" s="200">
        <v>6331</v>
      </c>
      <c r="D66" s="37" t="s">
        <v>11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8"/>
      <c r="R66" s="41"/>
      <c r="S66" s="333">
        <f t="shared" si="15"/>
        <v>0</v>
      </c>
      <c r="T66" s="41"/>
      <c r="U66" s="363">
        <f t="shared" si="2"/>
        <v>0</v>
      </c>
    </row>
    <row r="67" spans="3:21" s="37" customFormat="1" ht="12" x14ac:dyDescent="0.2">
      <c r="C67" s="200">
        <v>6334</v>
      </c>
      <c r="D67" s="37" t="s">
        <v>12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8"/>
      <c r="R67" s="41"/>
      <c r="S67" s="333">
        <f t="shared" si="15"/>
        <v>0</v>
      </c>
      <c r="T67" s="41"/>
      <c r="U67" s="363">
        <f t="shared" si="2"/>
        <v>0</v>
      </c>
    </row>
    <row r="68" spans="3:21" s="37" customFormat="1" ht="12" x14ac:dyDescent="0.2">
      <c r="C68" s="200">
        <v>6336</v>
      </c>
      <c r="D68" s="37" t="s">
        <v>13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8"/>
      <c r="R68" s="41"/>
      <c r="S68" s="333">
        <f t="shared" si="15"/>
        <v>0</v>
      </c>
      <c r="T68" s="41"/>
      <c r="U68" s="363">
        <f t="shared" si="2"/>
        <v>0</v>
      </c>
    </row>
    <row r="69" spans="3:21" s="37" customFormat="1" ht="12" x14ac:dyDescent="0.2">
      <c r="C69" s="200">
        <v>6337</v>
      </c>
      <c r="D69" s="37" t="s">
        <v>14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8"/>
      <c r="R69" s="41"/>
      <c r="S69" s="333">
        <f t="shared" si="15"/>
        <v>0</v>
      </c>
      <c r="T69" s="41"/>
      <c r="U69" s="363">
        <f t="shared" si="2"/>
        <v>0</v>
      </c>
    </row>
    <row r="70" spans="3:21" s="37" customFormat="1" ht="12" x14ac:dyDescent="0.2">
      <c r="C70" s="200">
        <v>6340</v>
      </c>
      <c r="D70" s="37" t="s">
        <v>15</v>
      </c>
      <c r="E70" s="67">
        <v>4102.333333333333</v>
      </c>
      <c r="F70" s="67">
        <v>4102.333333333333</v>
      </c>
      <c r="G70" s="67">
        <v>4102.333333333333</v>
      </c>
      <c r="H70" s="67">
        <v>4102.333333333333</v>
      </c>
      <c r="I70" s="67">
        <v>4102.333333333333</v>
      </c>
      <c r="J70" s="67">
        <v>4102.333333333333</v>
      </c>
      <c r="K70" s="67">
        <v>4102.333333333333</v>
      </c>
      <c r="L70" s="67">
        <v>4102.333333333333</v>
      </c>
      <c r="M70" s="67">
        <v>4102.333333333333</v>
      </c>
      <c r="N70" s="67">
        <v>4102.333333333333</v>
      </c>
      <c r="O70" s="67">
        <v>4102.333333333333</v>
      </c>
      <c r="P70" s="67">
        <v>4102.333333333333</v>
      </c>
      <c r="Q70" s="68"/>
      <c r="R70" s="41"/>
      <c r="S70" s="333">
        <f t="shared" si="15"/>
        <v>49228.000000000007</v>
      </c>
      <c r="T70" s="41"/>
      <c r="U70" s="363">
        <f t="shared" si="2"/>
        <v>32818.666666666664</v>
      </c>
    </row>
    <row r="71" spans="3:21" s="37" customFormat="1" ht="12" x14ac:dyDescent="0.2">
      <c r="C71" s="200">
        <v>6345</v>
      </c>
      <c r="D71" s="37" t="s">
        <v>16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8"/>
      <c r="R71" s="41"/>
      <c r="S71" s="333">
        <f t="shared" si="15"/>
        <v>0</v>
      </c>
      <c r="T71" s="41"/>
      <c r="U71" s="363">
        <f t="shared" si="2"/>
        <v>0</v>
      </c>
    </row>
    <row r="72" spans="3:21" s="37" customFormat="1" ht="12" x14ac:dyDescent="0.2">
      <c r="C72" s="200">
        <v>6350</v>
      </c>
      <c r="D72" s="37" t="s">
        <v>17</v>
      </c>
      <c r="E72" s="67">
        <v>416.66666666666669</v>
      </c>
      <c r="F72" s="67">
        <v>416.66666666666669</v>
      </c>
      <c r="G72" s="67">
        <v>416.66666666666669</v>
      </c>
      <c r="H72" s="67">
        <v>416.66666666666669</v>
      </c>
      <c r="I72" s="67">
        <v>416.66666666666669</v>
      </c>
      <c r="J72" s="67">
        <v>416.66666666666669</v>
      </c>
      <c r="K72" s="67">
        <v>416.66666666666669</v>
      </c>
      <c r="L72" s="67">
        <v>416.66666666666669</v>
      </c>
      <c r="M72" s="67">
        <v>416.66666666666669</v>
      </c>
      <c r="N72" s="67">
        <v>416.66666666666669</v>
      </c>
      <c r="O72" s="67">
        <v>416.66666666666669</v>
      </c>
      <c r="P72" s="67">
        <v>416.66666666666669</v>
      </c>
      <c r="Q72" s="68"/>
      <c r="R72" s="41"/>
      <c r="S72" s="333">
        <f t="shared" si="15"/>
        <v>5000</v>
      </c>
      <c r="T72" s="41"/>
      <c r="U72" s="363">
        <f t="shared" si="2"/>
        <v>3333.333333333333</v>
      </c>
    </row>
    <row r="73" spans="3:21" s="37" customFormat="1" ht="12" x14ac:dyDescent="0.2">
      <c r="C73" s="200">
        <v>6351</v>
      </c>
      <c r="D73" s="37" t="s">
        <v>18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8"/>
      <c r="R73" s="41"/>
      <c r="S73" s="333">
        <f t="shared" si="15"/>
        <v>0</v>
      </c>
      <c r="T73" s="41"/>
      <c r="U73" s="363">
        <f t="shared" ref="U73:U117" si="16">SUM(E73:L73)</f>
        <v>0</v>
      </c>
    </row>
    <row r="74" spans="3:21" s="37" customFormat="1" ht="12" x14ac:dyDescent="0.2">
      <c r="C74" s="38"/>
      <c r="E74" s="73">
        <f>SUBTOTAL(9,E64:E73)</f>
        <v>5626.5</v>
      </c>
      <c r="F74" s="73">
        <f t="shared" ref="F74:S74" si="17">SUBTOTAL(9,F64:F73)</f>
        <v>5626.5</v>
      </c>
      <c r="G74" s="73">
        <f t="shared" si="17"/>
        <v>5626.5</v>
      </c>
      <c r="H74" s="73">
        <f t="shared" si="17"/>
        <v>5626.5</v>
      </c>
      <c r="I74" s="73">
        <f t="shared" si="17"/>
        <v>5626.5</v>
      </c>
      <c r="J74" s="73">
        <f t="shared" si="17"/>
        <v>5626.5</v>
      </c>
      <c r="K74" s="73">
        <f t="shared" si="17"/>
        <v>5626.5</v>
      </c>
      <c r="L74" s="73">
        <f t="shared" si="17"/>
        <v>5626.5</v>
      </c>
      <c r="M74" s="73">
        <f t="shared" si="17"/>
        <v>5626.5</v>
      </c>
      <c r="N74" s="73">
        <f t="shared" si="17"/>
        <v>5626.5</v>
      </c>
      <c r="O74" s="73">
        <f t="shared" si="17"/>
        <v>5626.5</v>
      </c>
      <c r="P74" s="73">
        <f t="shared" si="17"/>
        <v>5626.5</v>
      </c>
      <c r="Q74" s="73">
        <f t="shared" si="17"/>
        <v>0</v>
      </c>
      <c r="R74" s="41"/>
      <c r="S74" s="334">
        <f t="shared" si="17"/>
        <v>67518</v>
      </c>
      <c r="T74" s="41"/>
      <c r="U74" s="364">
        <f t="shared" si="16"/>
        <v>45012</v>
      </c>
    </row>
    <row r="75" spans="3:21" s="37" customFormat="1" ht="12" x14ac:dyDescent="0.2">
      <c r="C75" s="49" t="s">
        <v>100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41"/>
      <c r="S75" s="333"/>
      <c r="T75" s="41"/>
      <c r="U75" s="363">
        <f t="shared" si="16"/>
        <v>0</v>
      </c>
    </row>
    <row r="76" spans="3:21" s="37" customFormat="1" ht="12" x14ac:dyDescent="0.2">
      <c r="C76" s="200">
        <v>6410</v>
      </c>
      <c r="D76" s="37" t="s">
        <v>19</v>
      </c>
      <c r="E76" s="67">
        <v>225</v>
      </c>
      <c r="F76" s="67">
        <v>225</v>
      </c>
      <c r="G76" s="67">
        <v>225</v>
      </c>
      <c r="H76" s="67">
        <v>225</v>
      </c>
      <c r="I76" s="67">
        <v>225</v>
      </c>
      <c r="J76" s="67">
        <v>225</v>
      </c>
      <c r="K76" s="67">
        <v>225</v>
      </c>
      <c r="L76" s="67">
        <v>225</v>
      </c>
      <c r="M76" s="67">
        <v>225</v>
      </c>
      <c r="N76" s="67">
        <v>225</v>
      </c>
      <c r="O76" s="67">
        <v>225</v>
      </c>
      <c r="P76" s="67">
        <v>225</v>
      </c>
      <c r="Q76" s="68"/>
      <c r="R76" s="41"/>
      <c r="S76" s="333">
        <f t="shared" ref="S76:S79" si="18">SUM(E76:Q76)</f>
        <v>2700</v>
      </c>
      <c r="T76" s="41"/>
      <c r="U76" s="363">
        <f t="shared" si="16"/>
        <v>1800</v>
      </c>
    </row>
    <row r="77" spans="3:21" s="37" customFormat="1" ht="12" x14ac:dyDescent="0.2">
      <c r="C77" s="200">
        <v>6420</v>
      </c>
      <c r="D77" s="37" t="s">
        <v>20</v>
      </c>
      <c r="E77" s="67">
        <v>1123.3333333333333</v>
      </c>
      <c r="F77" s="67">
        <v>1123.3333333333333</v>
      </c>
      <c r="G77" s="67">
        <v>1123.3333333333333</v>
      </c>
      <c r="H77" s="67">
        <v>1123.3333333333333</v>
      </c>
      <c r="I77" s="67">
        <v>1123.3333333333333</v>
      </c>
      <c r="J77" s="67">
        <v>1123.3333333333333</v>
      </c>
      <c r="K77" s="67">
        <v>1123.3333333333333</v>
      </c>
      <c r="L77" s="67">
        <v>1123.3333333333333</v>
      </c>
      <c r="M77" s="67">
        <v>1123.3333333333333</v>
      </c>
      <c r="N77" s="67">
        <v>1123.3333333333333</v>
      </c>
      <c r="O77" s="67">
        <v>1123.3333333333333</v>
      </c>
      <c r="P77" s="67">
        <v>1123.3333333333333</v>
      </c>
      <c r="Q77" s="68"/>
      <c r="R77" s="41"/>
      <c r="S77" s="333">
        <f t="shared" si="18"/>
        <v>13480.000000000002</v>
      </c>
      <c r="T77" s="41"/>
      <c r="U77" s="363">
        <f t="shared" si="16"/>
        <v>8986.6666666666661</v>
      </c>
    </row>
    <row r="78" spans="3:21" s="37" customFormat="1" ht="12" x14ac:dyDescent="0.2">
      <c r="C78" s="200">
        <v>6430</v>
      </c>
      <c r="D78" s="37" t="s">
        <v>21</v>
      </c>
      <c r="E78" s="67">
        <v>815</v>
      </c>
      <c r="F78" s="67">
        <v>815</v>
      </c>
      <c r="G78" s="67">
        <v>815</v>
      </c>
      <c r="H78" s="67">
        <v>815</v>
      </c>
      <c r="I78" s="67">
        <v>815</v>
      </c>
      <c r="J78" s="67">
        <v>815</v>
      </c>
      <c r="K78" s="67">
        <v>815</v>
      </c>
      <c r="L78" s="67">
        <v>815</v>
      </c>
      <c r="M78" s="67">
        <v>815</v>
      </c>
      <c r="N78" s="67">
        <v>815</v>
      </c>
      <c r="O78" s="67">
        <v>815</v>
      </c>
      <c r="P78" s="67">
        <v>815</v>
      </c>
      <c r="Q78" s="68"/>
      <c r="R78" s="41"/>
      <c r="S78" s="333">
        <f t="shared" si="18"/>
        <v>9780</v>
      </c>
      <c r="T78" s="41"/>
      <c r="U78" s="363">
        <f t="shared" si="16"/>
        <v>6520</v>
      </c>
    </row>
    <row r="79" spans="3:21" s="37" customFormat="1" ht="12" x14ac:dyDescent="0.2">
      <c r="C79" s="200">
        <v>6441</v>
      </c>
      <c r="D79" s="37" t="s">
        <v>22</v>
      </c>
      <c r="E79" s="67">
        <v>9023.3333333333339</v>
      </c>
      <c r="F79" s="67">
        <v>9023.3333333333339</v>
      </c>
      <c r="G79" s="67">
        <v>9023.3333333333339</v>
      </c>
      <c r="H79" s="67">
        <v>9023.3333333333339</v>
      </c>
      <c r="I79" s="67">
        <v>9023.3333333333339</v>
      </c>
      <c r="J79" s="67">
        <v>9023.3333333333339</v>
      </c>
      <c r="K79" s="67">
        <v>9023.3333333333339</v>
      </c>
      <c r="L79" s="67">
        <v>9023.3333333333339</v>
      </c>
      <c r="M79" s="67">
        <v>9023.3333333333339</v>
      </c>
      <c r="N79" s="67">
        <v>9023.3333333333339</v>
      </c>
      <c r="O79" s="67">
        <v>9023.3333333333339</v>
      </c>
      <c r="P79" s="67">
        <v>9023.3333333333339</v>
      </c>
      <c r="Q79" s="68"/>
      <c r="R79" s="41"/>
      <c r="S79" s="333">
        <f t="shared" si="18"/>
        <v>108279.99999999999</v>
      </c>
      <c r="T79" s="41"/>
      <c r="U79" s="363">
        <f t="shared" si="16"/>
        <v>72186.666666666672</v>
      </c>
    </row>
    <row r="80" spans="3:21" s="37" customFormat="1" ht="12" x14ac:dyDescent="0.2">
      <c r="C80" s="38"/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f t="shared" ref="Q80:S80" si="19">SUBTOTAL(9,Q76:Q79)</f>
        <v>0</v>
      </c>
      <c r="R80" s="41"/>
      <c r="S80" s="334">
        <f t="shared" si="19"/>
        <v>134240</v>
      </c>
      <c r="T80" s="41"/>
      <c r="U80" s="364">
        <f t="shared" si="16"/>
        <v>0</v>
      </c>
    </row>
    <row r="81" spans="3:21" s="37" customFormat="1" ht="12" x14ac:dyDescent="0.2">
      <c r="C81" s="49" t="s">
        <v>101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1"/>
      <c r="S81" s="333"/>
      <c r="T81" s="41"/>
      <c r="U81" s="363">
        <f t="shared" si="16"/>
        <v>0</v>
      </c>
    </row>
    <row r="82" spans="3:21" s="37" customFormat="1" ht="12" x14ac:dyDescent="0.2">
      <c r="C82" s="200">
        <v>6519</v>
      </c>
      <c r="D82" s="37" t="s">
        <v>234</v>
      </c>
      <c r="E82" s="67">
        <v>58.333333333333336</v>
      </c>
      <c r="F82" s="67">
        <v>58.333333333333336</v>
      </c>
      <c r="G82" s="67">
        <v>58.333333333333336</v>
      </c>
      <c r="H82" s="67">
        <v>58.333333333333336</v>
      </c>
      <c r="I82" s="67">
        <v>58.333333333333336</v>
      </c>
      <c r="J82" s="67">
        <v>58.333333333333336</v>
      </c>
      <c r="K82" s="67">
        <v>58.333333333333336</v>
      </c>
      <c r="L82" s="67">
        <v>58.333333333333336</v>
      </c>
      <c r="M82" s="67">
        <v>58.333333333333336</v>
      </c>
      <c r="N82" s="67">
        <v>58.333333333333336</v>
      </c>
      <c r="O82" s="67">
        <v>58.333333333333336</v>
      </c>
      <c r="P82" s="67">
        <v>58.333333333333336</v>
      </c>
      <c r="Q82" s="68"/>
      <c r="R82" s="41"/>
      <c r="S82" s="333">
        <f t="shared" ref="S82:S93" si="20">SUM(E82:Q82)</f>
        <v>700.00000000000011</v>
      </c>
      <c r="T82" s="41"/>
      <c r="U82" s="363">
        <f t="shared" si="16"/>
        <v>466.66666666666663</v>
      </c>
    </row>
    <row r="83" spans="3:21" s="37" customFormat="1" ht="12" x14ac:dyDescent="0.2">
      <c r="C83" s="200">
        <v>6521</v>
      </c>
      <c r="D83" s="37" t="s">
        <v>24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8"/>
      <c r="R83" s="41"/>
      <c r="S83" s="333">
        <f t="shared" si="20"/>
        <v>0</v>
      </c>
      <c r="T83" s="41"/>
      <c r="U83" s="363">
        <f t="shared" si="16"/>
        <v>0</v>
      </c>
    </row>
    <row r="84" spans="3:21" s="37" customFormat="1" ht="12" x14ac:dyDescent="0.2">
      <c r="C84" s="200">
        <v>6522</v>
      </c>
      <c r="D84" s="37" t="s">
        <v>25</v>
      </c>
      <c r="E84" s="67">
        <v>291.66666666666669</v>
      </c>
      <c r="F84" s="67">
        <v>291.66666666666669</v>
      </c>
      <c r="G84" s="67">
        <v>291.66666666666669</v>
      </c>
      <c r="H84" s="67">
        <v>291.66666666666669</v>
      </c>
      <c r="I84" s="67">
        <v>291.66666666666669</v>
      </c>
      <c r="J84" s="67">
        <v>291.66666666666669</v>
      </c>
      <c r="K84" s="67">
        <v>291.66666666666669</v>
      </c>
      <c r="L84" s="67">
        <v>291.66666666666669</v>
      </c>
      <c r="M84" s="67">
        <v>291.66666666666669</v>
      </c>
      <c r="N84" s="67">
        <v>291.66666666666669</v>
      </c>
      <c r="O84" s="67">
        <v>291.66666666666669</v>
      </c>
      <c r="P84" s="67">
        <v>291.66666666666669</v>
      </c>
      <c r="Q84" s="68"/>
      <c r="R84" s="41"/>
      <c r="S84" s="333">
        <f t="shared" si="20"/>
        <v>3499.9999999999995</v>
      </c>
      <c r="T84" s="41"/>
      <c r="U84" s="363">
        <f t="shared" si="16"/>
        <v>2333.3333333333335</v>
      </c>
    </row>
    <row r="85" spans="3:21" s="37" customFormat="1" ht="12" x14ac:dyDescent="0.2">
      <c r="C85" s="200">
        <v>6523</v>
      </c>
      <c r="D85" s="37" t="s">
        <v>26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8"/>
      <c r="R85" s="41"/>
      <c r="S85" s="333">
        <f t="shared" si="20"/>
        <v>0</v>
      </c>
      <c r="T85" s="41"/>
      <c r="U85" s="363">
        <f t="shared" si="16"/>
        <v>0</v>
      </c>
    </row>
    <row r="86" spans="3:21" s="37" customFormat="1" ht="12" x14ac:dyDescent="0.2">
      <c r="C86" s="200">
        <v>6531</v>
      </c>
      <c r="D86" s="37" t="s">
        <v>27</v>
      </c>
      <c r="E86" s="67">
        <v>95</v>
      </c>
      <c r="F86" s="67">
        <v>95</v>
      </c>
      <c r="G86" s="67">
        <v>95</v>
      </c>
      <c r="H86" s="67">
        <v>95</v>
      </c>
      <c r="I86" s="67">
        <v>95</v>
      </c>
      <c r="J86" s="67">
        <v>95</v>
      </c>
      <c r="K86" s="67">
        <v>95</v>
      </c>
      <c r="L86" s="67">
        <v>95</v>
      </c>
      <c r="M86" s="67">
        <v>95</v>
      </c>
      <c r="N86" s="67">
        <v>95</v>
      </c>
      <c r="O86" s="67">
        <v>95</v>
      </c>
      <c r="P86" s="67">
        <v>95</v>
      </c>
      <c r="Q86" s="68"/>
      <c r="R86" s="41"/>
      <c r="S86" s="333">
        <f t="shared" si="20"/>
        <v>1140</v>
      </c>
      <c r="T86" s="41"/>
      <c r="U86" s="363">
        <f t="shared" si="16"/>
        <v>760</v>
      </c>
    </row>
    <row r="87" spans="3:21" s="37" customFormat="1" ht="12" x14ac:dyDescent="0.2">
      <c r="C87" s="200">
        <v>6534</v>
      </c>
      <c r="D87" s="37" t="s">
        <v>28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8"/>
      <c r="R87" s="41"/>
      <c r="S87" s="333">
        <f t="shared" si="20"/>
        <v>0</v>
      </c>
      <c r="T87" s="41"/>
      <c r="U87" s="363">
        <f t="shared" si="16"/>
        <v>0</v>
      </c>
    </row>
    <row r="88" spans="3:21" s="37" customFormat="1" ht="12" x14ac:dyDescent="0.2">
      <c r="C88" s="200">
        <v>6535</v>
      </c>
      <c r="D88" s="37" t="s">
        <v>235</v>
      </c>
      <c r="E88" s="67">
        <v>144</v>
      </c>
      <c r="F88" s="67">
        <v>144</v>
      </c>
      <c r="G88" s="67">
        <v>144</v>
      </c>
      <c r="H88" s="67">
        <v>144</v>
      </c>
      <c r="I88" s="67">
        <v>144</v>
      </c>
      <c r="J88" s="67">
        <v>144</v>
      </c>
      <c r="K88" s="67">
        <v>144</v>
      </c>
      <c r="L88" s="67">
        <v>144</v>
      </c>
      <c r="M88" s="67">
        <v>144</v>
      </c>
      <c r="N88" s="67">
        <v>144</v>
      </c>
      <c r="O88" s="67">
        <v>144</v>
      </c>
      <c r="P88" s="67">
        <v>144</v>
      </c>
      <c r="Q88" s="68"/>
      <c r="R88" s="41"/>
      <c r="S88" s="333">
        <f t="shared" si="20"/>
        <v>1728</v>
      </c>
      <c r="T88" s="41"/>
      <c r="U88" s="363">
        <f t="shared" si="16"/>
        <v>1152</v>
      </c>
    </row>
    <row r="89" spans="3:21" s="37" customFormat="1" ht="12" x14ac:dyDescent="0.2">
      <c r="C89" s="200">
        <v>6540</v>
      </c>
      <c r="D89" s="37" t="s">
        <v>30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8"/>
      <c r="R89" s="41"/>
      <c r="S89" s="333">
        <f t="shared" si="20"/>
        <v>0</v>
      </c>
      <c r="T89" s="41"/>
      <c r="U89" s="363">
        <f t="shared" si="16"/>
        <v>0</v>
      </c>
    </row>
    <row r="90" spans="3:21" s="37" customFormat="1" ht="12" x14ac:dyDescent="0.2">
      <c r="C90" s="200">
        <v>6550</v>
      </c>
      <c r="D90" s="37" t="s">
        <v>31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8"/>
      <c r="R90" s="41"/>
      <c r="S90" s="333">
        <f t="shared" si="20"/>
        <v>0</v>
      </c>
      <c r="T90" s="41"/>
      <c r="U90" s="363">
        <f t="shared" si="16"/>
        <v>0</v>
      </c>
    </row>
    <row r="91" spans="3:21" s="37" customFormat="1" ht="12" x14ac:dyDescent="0.2">
      <c r="C91" s="207">
        <v>6568</v>
      </c>
      <c r="D91" s="37" t="s">
        <v>186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8"/>
      <c r="R91" s="41"/>
      <c r="S91" s="333">
        <f t="shared" si="20"/>
        <v>0</v>
      </c>
      <c r="T91" s="41"/>
      <c r="U91" s="363">
        <f t="shared" si="16"/>
        <v>0</v>
      </c>
    </row>
    <row r="92" spans="3:21" s="37" customFormat="1" ht="12" x14ac:dyDescent="0.2">
      <c r="C92" s="200">
        <v>6569</v>
      </c>
      <c r="D92" s="37" t="s">
        <v>32</v>
      </c>
      <c r="E92" s="67">
        <v>57401.666666666664</v>
      </c>
      <c r="F92" s="67">
        <v>57401.666666666664</v>
      </c>
      <c r="G92" s="67">
        <v>57401.666666666664</v>
      </c>
      <c r="H92" s="67">
        <v>57401.666666666664</v>
      </c>
      <c r="I92" s="67">
        <v>57401.666666666664</v>
      </c>
      <c r="J92" s="67">
        <v>57401.666666666664</v>
      </c>
      <c r="K92" s="67">
        <v>57401.666666666664</v>
      </c>
      <c r="L92" s="67">
        <v>57401.666666666664</v>
      </c>
      <c r="M92" s="67">
        <v>57401.666666666664</v>
      </c>
      <c r="N92" s="67">
        <v>57401.666666666664</v>
      </c>
      <c r="O92" s="67">
        <v>57401.666666666664</v>
      </c>
      <c r="P92" s="67">
        <v>57401.666666666664</v>
      </c>
      <c r="Q92" s="68"/>
      <c r="R92" s="41"/>
      <c r="S92" s="333">
        <f t="shared" si="20"/>
        <v>688820</v>
      </c>
      <c r="T92" s="41"/>
      <c r="U92" s="363">
        <f t="shared" si="16"/>
        <v>459213.33333333337</v>
      </c>
    </row>
    <row r="93" spans="3:21" s="37" customFormat="1" ht="12" x14ac:dyDescent="0.2">
      <c r="C93" s="200">
        <v>6580</v>
      </c>
      <c r="D93" s="37" t="s">
        <v>33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8"/>
      <c r="R93" s="41"/>
      <c r="S93" s="333">
        <f t="shared" si="20"/>
        <v>0</v>
      </c>
      <c r="T93" s="41"/>
      <c r="U93" s="363">
        <f t="shared" si="16"/>
        <v>0</v>
      </c>
    </row>
    <row r="94" spans="3:21" s="37" customFormat="1" ht="12" x14ac:dyDescent="0.2">
      <c r="C94" s="38"/>
      <c r="E94" s="73">
        <f>SUBTOTAL(9,E82:E93)</f>
        <v>57990.666666666664</v>
      </c>
      <c r="F94" s="73">
        <f t="shared" ref="F94:P94" si="21">SUBTOTAL(9,F82:F93)</f>
        <v>57990.666666666664</v>
      </c>
      <c r="G94" s="73">
        <f t="shared" si="21"/>
        <v>57990.666666666664</v>
      </c>
      <c r="H94" s="73">
        <f t="shared" si="21"/>
        <v>57990.666666666664</v>
      </c>
      <c r="I94" s="73">
        <f t="shared" si="21"/>
        <v>57990.666666666664</v>
      </c>
      <c r="J94" s="73">
        <f t="shared" si="21"/>
        <v>57990.666666666664</v>
      </c>
      <c r="K94" s="73">
        <f t="shared" si="21"/>
        <v>57990.666666666664</v>
      </c>
      <c r="L94" s="73">
        <f t="shared" si="21"/>
        <v>57990.666666666664</v>
      </c>
      <c r="M94" s="73">
        <f t="shared" si="21"/>
        <v>57990.666666666664</v>
      </c>
      <c r="N94" s="73">
        <f t="shared" si="21"/>
        <v>57990.666666666664</v>
      </c>
      <c r="O94" s="73">
        <f t="shared" si="21"/>
        <v>57990.666666666664</v>
      </c>
      <c r="P94" s="73">
        <f t="shared" si="21"/>
        <v>57990.666666666664</v>
      </c>
      <c r="Q94" s="73">
        <f>SUBTOTAL(9,Q82:Q93)</f>
        <v>0</v>
      </c>
      <c r="R94" s="41"/>
      <c r="S94" s="334">
        <f>SUBTOTAL(9,S82:S93)</f>
        <v>695888</v>
      </c>
      <c r="T94" s="41"/>
      <c r="U94" s="364">
        <f t="shared" si="16"/>
        <v>463925.33333333337</v>
      </c>
    </row>
    <row r="95" spans="3:21" s="37" customFormat="1" ht="12" x14ac:dyDescent="0.2">
      <c r="C95" s="49" t="s">
        <v>102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41"/>
      <c r="S95" s="333"/>
      <c r="T95" s="41"/>
      <c r="U95" s="363">
        <f t="shared" si="16"/>
        <v>0</v>
      </c>
    </row>
    <row r="96" spans="3:21" s="37" customFormat="1" ht="12" x14ac:dyDescent="0.2">
      <c r="C96" s="200">
        <v>6610</v>
      </c>
      <c r="D96" s="37" t="s">
        <v>34</v>
      </c>
      <c r="E96" s="67">
        <v>5837.1216666666669</v>
      </c>
      <c r="F96" s="67">
        <v>5837.1216666666669</v>
      </c>
      <c r="G96" s="67">
        <v>5837.1216666666669</v>
      </c>
      <c r="H96" s="67">
        <v>5837.1216666666669</v>
      </c>
      <c r="I96" s="67">
        <v>5837.1216666666669</v>
      </c>
      <c r="J96" s="67">
        <v>5837.1216666666669</v>
      </c>
      <c r="K96" s="67">
        <v>5837.1216666666669</v>
      </c>
      <c r="L96" s="67">
        <v>5837.1216666666669</v>
      </c>
      <c r="M96" s="67">
        <v>5837.1216666666669</v>
      </c>
      <c r="N96" s="67">
        <v>5837.1216666666669</v>
      </c>
      <c r="O96" s="67">
        <v>5837.1216666666669</v>
      </c>
      <c r="P96" s="67">
        <v>5837.1216666666669</v>
      </c>
      <c r="Q96" s="68"/>
      <c r="R96" s="41"/>
      <c r="S96" s="333">
        <f t="shared" ref="S96:S102" si="22">SUM(E96:Q96)</f>
        <v>70045.460000000006</v>
      </c>
      <c r="T96" s="41"/>
      <c r="U96" s="363">
        <f t="shared" si="16"/>
        <v>46696.973333333335</v>
      </c>
    </row>
    <row r="97" spans="3:21" s="37" customFormat="1" ht="12" x14ac:dyDescent="0.2">
      <c r="C97" s="200">
        <v>6612</v>
      </c>
      <c r="D97" s="37" t="s">
        <v>35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8"/>
      <c r="R97" s="41"/>
      <c r="S97" s="333">
        <f t="shared" si="22"/>
        <v>0</v>
      </c>
      <c r="T97" s="41"/>
      <c r="U97" s="363">
        <f t="shared" si="16"/>
        <v>0</v>
      </c>
    </row>
    <row r="98" spans="3:21" s="37" customFormat="1" ht="12" x14ac:dyDescent="0.2">
      <c r="C98" s="200">
        <v>6622</v>
      </c>
      <c r="D98" s="37" t="s">
        <v>36</v>
      </c>
      <c r="E98" s="67">
        <v>800</v>
      </c>
      <c r="F98" s="67">
        <v>800</v>
      </c>
      <c r="G98" s="67">
        <v>800</v>
      </c>
      <c r="H98" s="67">
        <v>800</v>
      </c>
      <c r="I98" s="67">
        <v>800</v>
      </c>
      <c r="J98" s="67">
        <v>800</v>
      </c>
      <c r="K98" s="67">
        <v>800</v>
      </c>
      <c r="L98" s="67">
        <v>800</v>
      </c>
      <c r="M98" s="67">
        <v>800</v>
      </c>
      <c r="N98" s="67">
        <v>800</v>
      </c>
      <c r="O98" s="67">
        <v>800</v>
      </c>
      <c r="P98" s="67">
        <v>800</v>
      </c>
      <c r="Q98" s="68"/>
      <c r="R98" s="41"/>
      <c r="S98" s="333">
        <f t="shared" si="22"/>
        <v>9600</v>
      </c>
      <c r="T98" s="41"/>
      <c r="U98" s="363">
        <f t="shared" si="16"/>
        <v>6400</v>
      </c>
    </row>
    <row r="99" spans="3:21" s="37" customFormat="1" ht="12" x14ac:dyDescent="0.2">
      <c r="C99" s="200">
        <v>6641</v>
      </c>
      <c r="D99" s="37" t="s">
        <v>37</v>
      </c>
      <c r="E99" s="67">
        <v>3826.6666666666665</v>
      </c>
      <c r="F99" s="67">
        <v>3826.6666666666665</v>
      </c>
      <c r="G99" s="67">
        <v>3826.6666666666665</v>
      </c>
      <c r="H99" s="67">
        <v>3826.6666666666665</v>
      </c>
      <c r="I99" s="67">
        <v>3826.6666666666665</v>
      </c>
      <c r="J99" s="67">
        <v>3826.6666666666665</v>
      </c>
      <c r="K99" s="67">
        <v>3826.6666666666665</v>
      </c>
      <c r="L99" s="67">
        <v>3826.6666666666665</v>
      </c>
      <c r="M99" s="67">
        <v>3826.6666666666665</v>
      </c>
      <c r="N99" s="67">
        <v>3826.6666666666665</v>
      </c>
      <c r="O99" s="67">
        <v>3826.6666666666665</v>
      </c>
      <c r="P99" s="67">
        <v>3826.6666666666665</v>
      </c>
      <c r="Q99" s="68"/>
      <c r="R99" s="41"/>
      <c r="S99" s="333">
        <f t="shared" si="22"/>
        <v>45919.999999999993</v>
      </c>
      <c r="T99" s="41"/>
      <c r="U99" s="363">
        <f t="shared" si="16"/>
        <v>30613.333333333336</v>
      </c>
    </row>
    <row r="100" spans="3:21" s="37" customFormat="1" ht="12" x14ac:dyDescent="0.2">
      <c r="C100" s="200">
        <v>6642</v>
      </c>
      <c r="D100" s="37" t="s">
        <v>38</v>
      </c>
      <c r="E100" s="67">
        <v>6251.666666666667</v>
      </c>
      <c r="F100" s="67">
        <v>6251.666666666667</v>
      </c>
      <c r="G100" s="67">
        <v>6251.666666666667</v>
      </c>
      <c r="H100" s="67">
        <v>6251.666666666667</v>
      </c>
      <c r="I100" s="67">
        <v>6251.666666666667</v>
      </c>
      <c r="J100" s="67">
        <v>6251.666666666667</v>
      </c>
      <c r="K100" s="67">
        <v>6251.666666666667</v>
      </c>
      <c r="L100" s="67">
        <v>6251.666666666667</v>
      </c>
      <c r="M100" s="67">
        <v>6251.666666666667</v>
      </c>
      <c r="N100" s="67">
        <v>6251.666666666667</v>
      </c>
      <c r="O100" s="67">
        <v>6251.666666666667</v>
      </c>
      <c r="P100" s="67">
        <v>6251.666666666667</v>
      </c>
      <c r="Q100" s="68"/>
      <c r="R100" s="41"/>
      <c r="S100" s="333">
        <f t="shared" si="22"/>
        <v>75020</v>
      </c>
      <c r="T100" s="41"/>
      <c r="U100" s="363">
        <f t="shared" si="16"/>
        <v>50013.333333333328</v>
      </c>
    </row>
    <row r="101" spans="3:21" s="37" customFormat="1" ht="12" x14ac:dyDescent="0.2">
      <c r="C101" s="200">
        <v>6651</v>
      </c>
      <c r="D101" s="37" t="s">
        <v>39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8"/>
      <c r="R101" s="41"/>
      <c r="S101" s="333">
        <f t="shared" si="22"/>
        <v>0</v>
      </c>
      <c r="T101" s="41"/>
      <c r="U101" s="363">
        <f t="shared" si="16"/>
        <v>0</v>
      </c>
    </row>
    <row r="102" spans="3:21" s="37" customFormat="1" ht="12" x14ac:dyDescent="0.2">
      <c r="C102" s="200">
        <v>6652</v>
      </c>
      <c r="D102" s="37" t="s">
        <v>40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8"/>
      <c r="R102" s="41"/>
      <c r="S102" s="333">
        <f t="shared" si="22"/>
        <v>0</v>
      </c>
      <c r="T102" s="41"/>
      <c r="U102" s="363">
        <f t="shared" si="16"/>
        <v>0</v>
      </c>
    </row>
    <row r="103" spans="3:21" s="37" customFormat="1" ht="12" x14ac:dyDescent="0.2">
      <c r="C103" s="38"/>
      <c r="E103" s="73">
        <f>SUBTOTAL(9,E96:E102)</f>
        <v>16715.455000000002</v>
      </c>
      <c r="F103" s="73">
        <f t="shared" ref="F103:S103" si="23">SUBTOTAL(9,F96:F102)</f>
        <v>16715.455000000002</v>
      </c>
      <c r="G103" s="73">
        <f t="shared" si="23"/>
        <v>16715.455000000002</v>
      </c>
      <c r="H103" s="73">
        <f t="shared" si="23"/>
        <v>16715.455000000002</v>
      </c>
      <c r="I103" s="73">
        <f t="shared" si="23"/>
        <v>16715.455000000002</v>
      </c>
      <c r="J103" s="73">
        <f t="shared" si="23"/>
        <v>16715.455000000002</v>
      </c>
      <c r="K103" s="73">
        <f t="shared" si="23"/>
        <v>16715.455000000002</v>
      </c>
      <c r="L103" s="73">
        <f t="shared" si="23"/>
        <v>16715.455000000002</v>
      </c>
      <c r="M103" s="73">
        <f t="shared" si="23"/>
        <v>16715.455000000002</v>
      </c>
      <c r="N103" s="73">
        <f t="shared" si="23"/>
        <v>16715.455000000002</v>
      </c>
      <c r="O103" s="73">
        <f t="shared" si="23"/>
        <v>16715.455000000002</v>
      </c>
      <c r="P103" s="73">
        <f t="shared" si="23"/>
        <v>16715.455000000002</v>
      </c>
      <c r="Q103" s="73">
        <f t="shared" si="23"/>
        <v>0</v>
      </c>
      <c r="R103" s="41"/>
      <c r="S103" s="334">
        <f t="shared" si="23"/>
        <v>200585.46</v>
      </c>
      <c r="T103" s="41"/>
      <c r="U103" s="364">
        <f t="shared" si="16"/>
        <v>133723.64000000001</v>
      </c>
    </row>
    <row r="104" spans="3:21" s="37" customFormat="1" ht="12" x14ac:dyDescent="0.2">
      <c r="C104" s="49" t="s">
        <v>103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41"/>
      <c r="S104" s="333"/>
      <c r="T104" s="41"/>
      <c r="U104" s="363">
        <f t="shared" si="16"/>
        <v>0</v>
      </c>
    </row>
    <row r="105" spans="3:21" s="37" customFormat="1" ht="12" x14ac:dyDescent="0.2">
      <c r="C105" s="200">
        <v>6734</v>
      </c>
      <c r="D105" s="37" t="s">
        <v>41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8"/>
      <c r="R105" s="41"/>
      <c r="S105" s="333">
        <f t="shared" ref="S105" si="24">SUM(E105:Q105)</f>
        <v>0</v>
      </c>
      <c r="T105" s="41"/>
      <c r="U105" s="363">
        <f t="shared" si="16"/>
        <v>0</v>
      </c>
    </row>
    <row r="106" spans="3:21" s="37" customFormat="1" ht="12" x14ac:dyDescent="0.2">
      <c r="C106" s="38"/>
      <c r="E106" s="73">
        <f>SUBTOTAL(9,E105)</f>
        <v>0</v>
      </c>
      <c r="F106" s="73">
        <f t="shared" ref="F106:S106" si="25">SUBTOTAL(9,F105)</f>
        <v>0</v>
      </c>
      <c r="G106" s="73">
        <f t="shared" si="25"/>
        <v>0</v>
      </c>
      <c r="H106" s="73">
        <f t="shared" si="25"/>
        <v>0</v>
      </c>
      <c r="I106" s="73">
        <f t="shared" si="25"/>
        <v>0</v>
      </c>
      <c r="J106" s="73">
        <f t="shared" si="25"/>
        <v>0</v>
      </c>
      <c r="K106" s="73">
        <f t="shared" si="25"/>
        <v>0</v>
      </c>
      <c r="L106" s="73">
        <f t="shared" si="25"/>
        <v>0</v>
      </c>
      <c r="M106" s="73">
        <f t="shared" si="25"/>
        <v>0</v>
      </c>
      <c r="N106" s="73">
        <f t="shared" si="25"/>
        <v>0</v>
      </c>
      <c r="O106" s="73">
        <f t="shared" si="25"/>
        <v>0</v>
      </c>
      <c r="P106" s="73">
        <f t="shared" si="25"/>
        <v>0</v>
      </c>
      <c r="Q106" s="73">
        <f t="shared" si="25"/>
        <v>0</v>
      </c>
      <c r="R106" s="41"/>
      <c r="S106" s="334">
        <f t="shared" si="25"/>
        <v>0</v>
      </c>
      <c r="T106" s="41"/>
      <c r="U106" s="364">
        <f t="shared" si="16"/>
        <v>0</v>
      </c>
    </row>
    <row r="107" spans="3:21" s="37" customFormat="1" ht="12" x14ac:dyDescent="0.2">
      <c r="C107" s="49" t="s">
        <v>104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41"/>
      <c r="S107" s="333"/>
      <c r="T107" s="41"/>
      <c r="U107" s="363">
        <f t="shared" si="16"/>
        <v>0</v>
      </c>
    </row>
    <row r="108" spans="3:21" s="37" customFormat="1" ht="12" x14ac:dyDescent="0.2">
      <c r="C108" s="200">
        <v>6810</v>
      </c>
      <c r="D108" s="37" t="s">
        <v>42</v>
      </c>
      <c r="E108" s="67">
        <v>222.75</v>
      </c>
      <c r="F108" s="67">
        <v>222.75</v>
      </c>
      <c r="G108" s="67">
        <v>222.75</v>
      </c>
      <c r="H108" s="67">
        <v>222.75</v>
      </c>
      <c r="I108" s="67">
        <v>222.75</v>
      </c>
      <c r="J108" s="67">
        <v>222.75</v>
      </c>
      <c r="K108" s="67">
        <v>222.75</v>
      </c>
      <c r="L108" s="67">
        <v>222.75</v>
      </c>
      <c r="M108" s="67">
        <v>222.75</v>
      </c>
      <c r="N108" s="67">
        <v>222.75</v>
      </c>
      <c r="O108" s="67">
        <v>222.75</v>
      </c>
      <c r="P108" s="67">
        <v>222.75</v>
      </c>
      <c r="Q108" s="68"/>
      <c r="R108" s="41"/>
      <c r="S108" s="333">
        <f t="shared" ref="S108" si="26">SUM(E108:Q108)</f>
        <v>2673</v>
      </c>
      <c r="T108" s="41"/>
      <c r="U108" s="363">
        <f t="shared" si="16"/>
        <v>1782</v>
      </c>
    </row>
    <row r="109" spans="3:21" s="37" customFormat="1" ht="12" x14ac:dyDescent="0.2">
      <c r="C109" s="38"/>
      <c r="E109" s="73">
        <f>SUBTOTAL(9,E108)</f>
        <v>222.75</v>
      </c>
      <c r="F109" s="73">
        <f t="shared" ref="F109:Q109" si="27">SUBTOTAL(9,F108)</f>
        <v>222.75</v>
      </c>
      <c r="G109" s="73">
        <f t="shared" si="27"/>
        <v>222.75</v>
      </c>
      <c r="H109" s="73">
        <f t="shared" si="27"/>
        <v>222.75</v>
      </c>
      <c r="I109" s="73">
        <f t="shared" si="27"/>
        <v>222.75</v>
      </c>
      <c r="J109" s="73">
        <f t="shared" si="27"/>
        <v>222.75</v>
      </c>
      <c r="K109" s="73">
        <f t="shared" si="27"/>
        <v>222.75</v>
      </c>
      <c r="L109" s="73">
        <f t="shared" si="27"/>
        <v>222.75</v>
      </c>
      <c r="M109" s="73">
        <f t="shared" si="27"/>
        <v>222.75</v>
      </c>
      <c r="N109" s="73">
        <f t="shared" si="27"/>
        <v>222.75</v>
      </c>
      <c r="O109" s="73">
        <f t="shared" si="27"/>
        <v>222.75</v>
      </c>
      <c r="P109" s="73">
        <f t="shared" si="27"/>
        <v>222.75</v>
      </c>
      <c r="Q109" s="73">
        <f t="shared" si="27"/>
        <v>0</v>
      </c>
      <c r="R109" s="41"/>
      <c r="S109" s="334">
        <f t="shared" ref="S109" si="28">SUBTOTAL(9,S108)</f>
        <v>2673</v>
      </c>
      <c r="T109" s="41"/>
      <c r="U109" s="364">
        <f t="shared" si="16"/>
        <v>1782</v>
      </c>
    </row>
    <row r="110" spans="3:21" s="45" customFormat="1" ht="12" x14ac:dyDescent="0.2">
      <c r="C110" s="49" t="s">
        <v>43</v>
      </c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5"/>
      <c r="R110" s="48"/>
      <c r="S110" s="335"/>
      <c r="T110" s="48"/>
      <c r="U110" s="367">
        <f t="shared" si="16"/>
        <v>0</v>
      </c>
    </row>
    <row r="111" spans="3:21" s="37" customFormat="1" ht="12" x14ac:dyDescent="0.2">
      <c r="C111" s="200">
        <v>7306</v>
      </c>
      <c r="D111" s="37" t="s">
        <v>43</v>
      </c>
      <c r="E111" s="67">
        <f t="shared" ref="E111:P112" si="29">$W111/12</f>
        <v>0</v>
      </c>
      <c r="F111" s="67">
        <f t="shared" si="29"/>
        <v>0</v>
      </c>
      <c r="G111" s="67">
        <f t="shared" si="29"/>
        <v>0</v>
      </c>
      <c r="H111" s="67">
        <f t="shared" si="29"/>
        <v>0</v>
      </c>
      <c r="I111" s="67">
        <f t="shared" si="29"/>
        <v>0</v>
      </c>
      <c r="J111" s="67">
        <f t="shared" si="29"/>
        <v>0</v>
      </c>
      <c r="K111" s="67">
        <f t="shared" si="29"/>
        <v>0</v>
      </c>
      <c r="L111" s="67">
        <f t="shared" si="29"/>
        <v>0</v>
      </c>
      <c r="M111" s="67">
        <f t="shared" si="29"/>
        <v>0</v>
      </c>
      <c r="N111" s="67">
        <f t="shared" si="29"/>
        <v>0</v>
      </c>
      <c r="O111" s="67">
        <f t="shared" si="29"/>
        <v>0</v>
      </c>
      <c r="P111" s="67">
        <f t="shared" si="29"/>
        <v>0</v>
      </c>
      <c r="Q111" s="68"/>
      <c r="R111" s="41"/>
      <c r="S111" s="335">
        <f t="shared" ref="S111:S112" si="30">SUM(E111:Q111)</f>
        <v>0</v>
      </c>
      <c r="T111" s="41"/>
      <c r="U111" s="365">
        <f t="shared" si="16"/>
        <v>0</v>
      </c>
    </row>
    <row r="112" spans="3:21" s="37" customFormat="1" ht="12" x14ac:dyDescent="0.2">
      <c r="C112" s="38">
        <v>7901</v>
      </c>
      <c r="D112" s="37" t="s">
        <v>177</v>
      </c>
      <c r="E112" s="67">
        <f t="shared" si="29"/>
        <v>0</v>
      </c>
      <c r="F112" s="67">
        <f t="shared" si="29"/>
        <v>0</v>
      </c>
      <c r="G112" s="67">
        <f t="shared" si="29"/>
        <v>0</v>
      </c>
      <c r="H112" s="67">
        <f t="shared" si="29"/>
        <v>0</v>
      </c>
      <c r="I112" s="67">
        <f t="shared" si="29"/>
        <v>0</v>
      </c>
      <c r="J112" s="67">
        <f t="shared" si="29"/>
        <v>0</v>
      </c>
      <c r="K112" s="67">
        <f t="shared" si="29"/>
        <v>0</v>
      </c>
      <c r="L112" s="67">
        <f t="shared" si="29"/>
        <v>0</v>
      </c>
      <c r="M112" s="67">
        <f t="shared" si="29"/>
        <v>0</v>
      </c>
      <c r="N112" s="67">
        <f t="shared" si="29"/>
        <v>0</v>
      </c>
      <c r="O112" s="67">
        <f t="shared" si="29"/>
        <v>0</v>
      </c>
      <c r="P112" s="67">
        <f t="shared" si="29"/>
        <v>0</v>
      </c>
      <c r="Q112" s="68"/>
      <c r="R112" s="41"/>
      <c r="S112" s="335">
        <f t="shared" si="30"/>
        <v>0</v>
      </c>
      <c r="T112" s="41"/>
      <c r="U112" s="365">
        <f t="shared" si="16"/>
        <v>0</v>
      </c>
    </row>
    <row r="113" spans="1:21" s="37" customFormat="1" ht="12" x14ac:dyDescent="0.2">
      <c r="C113" s="38"/>
      <c r="E113" s="73">
        <f>SUBTOTAL(9,E111:E112)</f>
        <v>0</v>
      </c>
      <c r="F113" s="73">
        <f t="shared" ref="F113:P113" si="31">SUBTOTAL(9,F111:F112)</f>
        <v>0</v>
      </c>
      <c r="G113" s="73">
        <f t="shared" si="31"/>
        <v>0</v>
      </c>
      <c r="H113" s="73">
        <f t="shared" si="31"/>
        <v>0</v>
      </c>
      <c r="I113" s="73">
        <f t="shared" si="31"/>
        <v>0</v>
      </c>
      <c r="J113" s="73">
        <f t="shared" si="31"/>
        <v>0</v>
      </c>
      <c r="K113" s="73">
        <f t="shared" si="31"/>
        <v>0</v>
      </c>
      <c r="L113" s="73">
        <f t="shared" si="31"/>
        <v>0</v>
      </c>
      <c r="M113" s="73">
        <f t="shared" si="31"/>
        <v>0</v>
      </c>
      <c r="N113" s="73">
        <f t="shared" si="31"/>
        <v>0</v>
      </c>
      <c r="O113" s="73">
        <f t="shared" si="31"/>
        <v>0</v>
      </c>
      <c r="P113" s="73">
        <f t="shared" si="31"/>
        <v>0</v>
      </c>
      <c r="Q113" s="73">
        <f>SUBTOTAL(9,Q111:Q112)</f>
        <v>0</v>
      </c>
      <c r="R113" s="41"/>
      <c r="S113" s="334">
        <f>SUBTOTAL(9,S111:S112)</f>
        <v>0</v>
      </c>
      <c r="T113" s="41"/>
      <c r="U113" s="364">
        <f t="shared" si="16"/>
        <v>0</v>
      </c>
    </row>
    <row r="114" spans="1:21" s="37" customFormat="1" ht="9" customHeight="1" x14ac:dyDescent="0.2">
      <c r="C114" s="3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41"/>
      <c r="S114" s="333"/>
      <c r="T114" s="41"/>
      <c r="U114" s="363">
        <f t="shared" si="16"/>
        <v>0</v>
      </c>
    </row>
    <row r="115" spans="1:21" s="45" customFormat="1" ht="12" x14ac:dyDescent="0.2">
      <c r="A115" s="45" t="s">
        <v>107</v>
      </c>
      <c r="C115" s="46"/>
      <c r="E115" s="71">
        <f t="shared" ref="E115:Q115" si="32">SUBTOTAL(9,E30:E114)</f>
        <v>134763.79166666669</v>
      </c>
      <c r="F115" s="71">
        <f t="shared" si="32"/>
        <v>134763.79166666669</v>
      </c>
      <c r="G115" s="71">
        <f t="shared" si="32"/>
        <v>134763.79166666669</v>
      </c>
      <c r="H115" s="71">
        <f t="shared" si="32"/>
        <v>134763.79166666669</v>
      </c>
      <c r="I115" s="71">
        <f t="shared" si="32"/>
        <v>134763.79166666669</v>
      </c>
      <c r="J115" s="71">
        <f t="shared" si="32"/>
        <v>134763.79166666669</v>
      </c>
      <c r="K115" s="71">
        <f t="shared" si="32"/>
        <v>134763.79166666669</v>
      </c>
      <c r="L115" s="71">
        <f t="shared" si="32"/>
        <v>134763.79166666669</v>
      </c>
      <c r="M115" s="71">
        <f t="shared" si="32"/>
        <v>134763.79166666669</v>
      </c>
      <c r="N115" s="71">
        <f t="shared" si="32"/>
        <v>134763.79166666669</v>
      </c>
      <c r="O115" s="71">
        <f t="shared" si="32"/>
        <v>134763.79166666669</v>
      </c>
      <c r="P115" s="71">
        <f t="shared" si="32"/>
        <v>134763.79166666669</v>
      </c>
      <c r="Q115" s="69">
        <f t="shared" si="32"/>
        <v>0</v>
      </c>
      <c r="R115" s="48"/>
      <c r="S115" s="336">
        <f>SUBTOTAL(9,S30:S114)</f>
        <v>1617165.5</v>
      </c>
      <c r="T115" s="48"/>
      <c r="U115" s="366">
        <f t="shared" si="16"/>
        <v>1078110.3333333337</v>
      </c>
    </row>
    <row r="116" spans="1:21" s="37" customFormat="1" ht="12" x14ac:dyDescent="0.2">
      <c r="C116" s="3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41"/>
      <c r="S116" s="333"/>
      <c r="T116" s="41"/>
      <c r="U116" s="363">
        <f t="shared" si="16"/>
        <v>0</v>
      </c>
    </row>
    <row r="117" spans="1:21" s="45" customFormat="1" ht="12.75" thickBot="1" x14ac:dyDescent="0.25">
      <c r="A117" s="45" t="s">
        <v>108</v>
      </c>
      <c r="C117" s="46"/>
      <c r="E117" s="194">
        <f t="shared" ref="E117:Q117" si="33">E27-E115</f>
        <v>9368.5583333332906</v>
      </c>
      <c r="F117" s="194">
        <f t="shared" si="33"/>
        <v>9368.5583333332906</v>
      </c>
      <c r="G117" s="194">
        <f t="shared" si="33"/>
        <v>9368.5583333332906</v>
      </c>
      <c r="H117" s="194">
        <f t="shared" si="33"/>
        <v>9368.5583333332906</v>
      </c>
      <c r="I117" s="194">
        <f t="shared" si="33"/>
        <v>9368.5583333332906</v>
      </c>
      <c r="J117" s="194">
        <f t="shared" si="33"/>
        <v>9368.5583333332906</v>
      </c>
      <c r="K117" s="194">
        <f t="shared" si="33"/>
        <v>9368.5583333332906</v>
      </c>
      <c r="L117" s="194">
        <f t="shared" si="33"/>
        <v>9368.5583333332906</v>
      </c>
      <c r="M117" s="194">
        <f t="shared" si="33"/>
        <v>9368.5583333332906</v>
      </c>
      <c r="N117" s="194">
        <f t="shared" si="33"/>
        <v>9368.5583333332906</v>
      </c>
      <c r="O117" s="194">
        <f t="shared" si="33"/>
        <v>9368.5583333332906</v>
      </c>
      <c r="P117" s="194">
        <f t="shared" si="33"/>
        <v>9368.5583333332906</v>
      </c>
      <c r="Q117" s="194">
        <f t="shared" si="33"/>
        <v>0</v>
      </c>
      <c r="R117" s="192"/>
      <c r="S117" s="337">
        <f>S27-S115</f>
        <v>112422.69999999995</v>
      </c>
      <c r="T117" s="192"/>
      <c r="U117" s="368">
        <f t="shared" si="16"/>
        <v>74948.466666666325</v>
      </c>
    </row>
    <row r="118" spans="1:21" s="37" customFormat="1" ht="12.75" thickTop="1" x14ac:dyDescent="0.2">
      <c r="C118" s="3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1"/>
      <c r="S118" s="338"/>
      <c r="T118" s="41"/>
      <c r="U118" s="363"/>
    </row>
    <row r="119" spans="1:21" s="37" customFormat="1" ht="12" x14ac:dyDescent="0.2">
      <c r="A119" s="53" t="s">
        <v>109</v>
      </c>
      <c r="B119" s="54"/>
      <c r="C119" s="54"/>
      <c r="D119" s="54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1"/>
      <c r="S119" s="338"/>
      <c r="T119" s="41"/>
      <c r="U119" s="363"/>
    </row>
    <row r="120" spans="1:21" s="37" customFormat="1" ht="12" x14ac:dyDescent="0.2">
      <c r="A120" s="53"/>
      <c r="B120" s="53"/>
      <c r="C120" s="54" t="s">
        <v>110</v>
      </c>
      <c r="D120" s="54"/>
      <c r="E120" s="67">
        <f>E117</f>
        <v>9368.5583333332906</v>
      </c>
      <c r="F120" s="67">
        <f t="shared" ref="F120:Q120" si="34">F117</f>
        <v>9368.5583333332906</v>
      </c>
      <c r="G120" s="67">
        <f t="shared" si="34"/>
        <v>9368.5583333332906</v>
      </c>
      <c r="H120" s="67">
        <f t="shared" si="34"/>
        <v>9368.5583333332906</v>
      </c>
      <c r="I120" s="67">
        <f t="shared" si="34"/>
        <v>9368.5583333332906</v>
      </c>
      <c r="J120" s="67">
        <f t="shared" si="34"/>
        <v>9368.5583333332906</v>
      </c>
      <c r="K120" s="67">
        <f t="shared" si="34"/>
        <v>9368.5583333332906</v>
      </c>
      <c r="L120" s="67">
        <f t="shared" si="34"/>
        <v>9368.5583333332906</v>
      </c>
      <c r="M120" s="67">
        <f t="shared" si="34"/>
        <v>9368.5583333332906</v>
      </c>
      <c r="N120" s="67">
        <f t="shared" si="34"/>
        <v>9368.5583333332906</v>
      </c>
      <c r="O120" s="67">
        <f t="shared" si="34"/>
        <v>9368.5583333332906</v>
      </c>
      <c r="P120" s="67">
        <f t="shared" si="34"/>
        <v>9368.5583333332906</v>
      </c>
      <c r="Q120" s="67">
        <f t="shared" si="34"/>
        <v>0</v>
      </c>
      <c r="R120" s="41"/>
      <c r="S120" s="338"/>
      <c r="T120" s="41"/>
      <c r="U120" s="363"/>
    </row>
    <row r="121" spans="1:21" s="37" customFormat="1" ht="12" x14ac:dyDescent="0.2">
      <c r="A121" s="54"/>
      <c r="B121" s="54" t="s">
        <v>111</v>
      </c>
      <c r="C121" s="54" t="s">
        <v>112</v>
      </c>
      <c r="D121" s="5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1"/>
      <c r="S121" s="338"/>
      <c r="T121" s="41"/>
      <c r="U121" s="363"/>
    </row>
    <row r="122" spans="1:21" s="37" customFormat="1" ht="12" x14ac:dyDescent="0.2">
      <c r="A122" s="54"/>
      <c r="B122" s="54" t="s">
        <v>111</v>
      </c>
      <c r="C122" s="54"/>
      <c r="D122" s="55" t="s">
        <v>113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41"/>
      <c r="S122" s="338"/>
      <c r="T122" s="41"/>
      <c r="U122" s="363"/>
    </row>
    <row r="123" spans="1:21" s="37" customFormat="1" ht="12" x14ac:dyDescent="0.2">
      <c r="A123" s="54"/>
      <c r="B123" s="54" t="s">
        <v>111</v>
      </c>
      <c r="C123" s="54"/>
      <c r="D123" s="55" t="s">
        <v>114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-2.6800000000062028</v>
      </c>
      <c r="R123" s="41"/>
      <c r="S123" s="338"/>
      <c r="T123" s="41"/>
      <c r="U123" s="363"/>
    </row>
    <row r="124" spans="1:21" s="37" customFormat="1" ht="12" x14ac:dyDescent="0.2">
      <c r="A124" s="54"/>
      <c r="B124" s="54" t="s">
        <v>111</v>
      </c>
      <c r="C124" s="54"/>
      <c r="D124" s="55" t="s">
        <v>115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41"/>
      <c r="S124" s="338"/>
      <c r="T124" s="41"/>
      <c r="U124" s="363"/>
    </row>
    <row r="125" spans="1:21" s="37" customFormat="1" ht="12" x14ac:dyDescent="0.2">
      <c r="A125" s="54"/>
      <c r="B125" s="54" t="s">
        <v>111</v>
      </c>
      <c r="C125" s="54"/>
      <c r="D125" s="55" t="s">
        <v>116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41"/>
      <c r="S125" s="338"/>
      <c r="T125" s="41"/>
      <c r="U125" s="363"/>
    </row>
    <row r="126" spans="1:21" s="37" customFormat="1" ht="12" x14ac:dyDescent="0.2">
      <c r="A126" s="54"/>
      <c r="B126" s="54" t="s">
        <v>111</v>
      </c>
      <c r="C126" s="54"/>
      <c r="D126" s="55" t="s">
        <v>117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41"/>
      <c r="S126" s="338"/>
      <c r="T126" s="41"/>
      <c r="U126" s="363"/>
    </row>
    <row r="127" spans="1:21" s="37" customFormat="1" ht="12" x14ac:dyDescent="0.2">
      <c r="A127" s="54"/>
      <c r="B127" s="54" t="s">
        <v>111</v>
      </c>
      <c r="C127" s="54"/>
      <c r="D127" s="55" t="s">
        <v>118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41"/>
      <c r="S127" s="338"/>
      <c r="T127" s="41"/>
      <c r="U127" s="363"/>
    </row>
    <row r="128" spans="1:21" s="37" customFormat="1" ht="12" x14ac:dyDescent="0.2">
      <c r="A128" s="54"/>
      <c r="B128" s="54" t="s">
        <v>111</v>
      </c>
      <c r="C128" s="54"/>
      <c r="D128" s="55" t="s">
        <v>119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41"/>
      <c r="S128" s="338"/>
      <c r="T128" s="41"/>
      <c r="U128" s="363"/>
    </row>
    <row r="129" spans="1:21" s="37" customFormat="1" ht="12" x14ac:dyDescent="0.2">
      <c r="A129" s="54"/>
      <c r="B129" s="54" t="s">
        <v>111</v>
      </c>
      <c r="C129" s="54"/>
      <c r="D129" s="55" t="s">
        <v>120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41"/>
      <c r="S129" s="338"/>
      <c r="T129" s="41"/>
      <c r="U129" s="363"/>
    </row>
    <row r="130" spans="1:21" s="37" customFormat="1" ht="12" x14ac:dyDescent="0.2">
      <c r="A130" s="54"/>
      <c r="B130" s="54" t="s">
        <v>111</v>
      </c>
      <c r="C130" s="54"/>
      <c r="D130" s="55" t="s">
        <v>121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41"/>
      <c r="S130" s="338"/>
      <c r="T130" s="41"/>
      <c r="U130" s="363"/>
    </row>
    <row r="131" spans="1:21" s="37" customFormat="1" ht="12" x14ac:dyDescent="0.2">
      <c r="A131" s="54"/>
      <c r="B131" s="54" t="s">
        <v>111</v>
      </c>
      <c r="C131" s="54" t="s">
        <v>122</v>
      </c>
      <c r="D131" s="55"/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41"/>
      <c r="S131" s="338"/>
      <c r="T131" s="41"/>
      <c r="U131" s="363"/>
    </row>
    <row r="132" spans="1:21" s="37" customFormat="1" ht="12" x14ac:dyDescent="0.2">
      <c r="A132" s="54"/>
      <c r="B132" s="54" t="s">
        <v>111</v>
      </c>
      <c r="C132" s="54"/>
      <c r="D132" s="55" t="s">
        <v>123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41"/>
      <c r="S132" s="338"/>
      <c r="T132" s="41"/>
      <c r="U132" s="363"/>
    </row>
    <row r="133" spans="1:21" s="37" customFormat="1" ht="12" x14ac:dyDescent="0.2">
      <c r="A133" s="54"/>
      <c r="B133" s="54"/>
      <c r="C133" s="54"/>
      <c r="D133" s="54" t="s">
        <v>124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41"/>
      <c r="S133" s="338"/>
      <c r="T133" s="41"/>
      <c r="U133" s="363"/>
    </row>
    <row r="134" spans="1:21" s="37" customFormat="1" ht="12" x14ac:dyDescent="0.2">
      <c r="A134" s="54"/>
      <c r="B134" s="54"/>
      <c r="C134" s="54" t="s">
        <v>125</v>
      </c>
      <c r="D134" s="54"/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41"/>
      <c r="S134" s="338"/>
      <c r="T134" s="41"/>
      <c r="U134" s="363"/>
    </row>
    <row r="135" spans="1:21" s="37" customFormat="1" ht="12" x14ac:dyDescent="0.2">
      <c r="A135" s="54"/>
      <c r="B135" s="54"/>
      <c r="C135" s="54"/>
      <c r="D135" s="54" t="s">
        <v>129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41"/>
      <c r="S135" s="338"/>
      <c r="T135" s="41"/>
      <c r="U135" s="363"/>
    </row>
    <row r="136" spans="1:21" s="37" customFormat="1" ht="12" x14ac:dyDescent="0.2">
      <c r="A136" s="54"/>
      <c r="B136" s="54"/>
      <c r="C136" s="54"/>
      <c r="D136" s="54" t="s">
        <v>130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41"/>
      <c r="S136" s="338"/>
      <c r="T136" s="41"/>
      <c r="U136" s="363"/>
    </row>
    <row r="137" spans="1:21" s="37" customFormat="1" ht="12" x14ac:dyDescent="0.2">
      <c r="A137" s="54"/>
      <c r="B137" s="54"/>
      <c r="C137" s="54"/>
      <c r="D137" s="5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39"/>
      <c r="R137" s="41"/>
      <c r="S137" s="338"/>
      <c r="T137" s="41"/>
      <c r="U137" s="363"/>
    </row>
    <row r="138" spans="1:21" s="37" customFormat="1" ht="12" x14ac:dyDescent="0.2">
      <c r="A138" s="54"/>
      <c r="B138" s="54" t="s">
        <v>126</v>
      </c>
      <c r="C138" s="54"/>
      <c r="D138" s="54"/>
      <c r="E138" s="67">
        <f>SUM(E120:E136)</f>
        <v>9368.5583333332906</v>
      </c>
      <c r="F138" s="67">
        <f>SUM(F120:F136)</f>
        <v>9368.5583333332906</v>
      </c>
      <c r="G138" s="67">
        <f t="shared" ref="G138:P138" si="35">SUM(G120:G136)</f>
        <v>9368.5583333332906</v>
      </c>
      <c r="H138" s="67">
        <f t="shared" si="35"/>
        <v>9368.5583333332906</v>
      </c>
      <c r="I138" s="67">
        <f t="shared" si="35"/>
        <v>9368.5583333332906</v>
      </c>
      <c r="J138" s="67">
        <f t="shared" si="35"/>
        <v>9368.5583333332906</v>
      </c>
      <c r="K138" s="67">
        <f t="shared" si="35"/>
        <v>9368.5583333332906</v>
      </c>
      <c r="L138" s="67">
        <f t="shared" si="35"/>
        <v>9368.5583333332906</v>
      </c>
      <c r="M138" s="67">
        <f t="shared" si="35"/>
        <v>9368.5583333332906</v>
      </c>
      <c r="N138" s="67">
        <f t="shared" si="35"/>
        <v>9368.5583333332906</v>
      </c>
      <c r="O138" s="67">
        <f t="shared" si="35"/>
        <v>9368.5583333332906</v>
      </c>
      <c r="P138" s="67">
        <f t="shared" si="35"/>
        <v>9368.5583333332906</v>
      </c>
      <c r="Q138" s="39"/>
      <c r="R138" s="41"/>
      <c r="S138" s="338"/>
      <c r="T138" s="41"/>
      <c r="U138" s="363"/>
    </row>
    <row r="139" spans="1:21" s="37" customFormat="1" ht="12" x14ac:dyDescent="0.2">
      <c r="A139" s="54"/>
      <c r="B139" s="54" t="s">
        <v>127</v>
      </c>
      <c r="C139" s="54"/>
      <c r="D139" s="54"/>
      <c r="E139" s="69">
        <f>'FY21'!E139</f>
        <v>0</v>
      </c>
      <c r="F139" s="69">
        <f>E141</f>
        <v>9368.5583333332906</v>
      </c>
      <c r="G139" s="69">
        <f t="shared" ref="G139:P139" si="36">F141</f>
        <v>18737.116666666581</v>
      </c>
      <c r="H139" s="69">
        <f t="shared" si="36"/>
        <v>28105.674999999872</v>
      </c>
      <c r="I139" s="69">
        <f t="shared" si="36"/>
        <v>37474.233333333163</v>
      </c>
      <c r="J139" s="69">
        <f t="shared" si="36"/>
        <v>46842.791666666453</v>
      </c>
      <c r="K139" s="69">
        <f t="shared" si="36"/>
        <v>56211.349999999744</v>
      </c>
      <c r="L139" s="69">
        <f t="shared" si="36"/>
        <v>65579.908333333035</v>
      </c>
      <c r="M139" s="69">
        <f t="shared" si="36"/>
        <v>74948.466666666325</v>
      </c>
      <c r="N139" s="69">
        <f t="shared" si="36"/>
        <v>84317.024999999616</v>
      </c>
      <c r="O139" s="69">
        <f t="shared" si="36"/>
        <v>93685.583333332906</v>
      </c>
      <c r="P139" s="69">
        <f t="shared" si="36"/>
        <v>103054.1416666662</v>
      </c>
      <c r="Q139" s="39"/>
      <c r="R139" s="41"/>
      <c r="S139" s="338"/>
      <c r="T139" s="41"/>
      <c r="U139" s="363"/>
    </row>
    <row r="140" spans="1:21" s="37" customFormat="1" ht="12" x14ac:dyDescent="0.2">
      <c r="A140" s="54"/>
      <c r="B140" s="54"/>
      <c r="C140" s="54"/>
      <c r="D140" s="5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39"/>
      <c r="R140" s="41"/>
      <c r="S140" s="338"/>
      <c r="T140" s="41"/>
      <c r="U140" s="363"/>
    </row>
    <row r="141" spans="1:21" s="37" customFormat="1" ht="12.75" thickBot="1" x14ac:dyDescent="0.25">
      <c r="A141" s="53"/>
      <c r="B141" s="53" t="s">
        <v>128</v>
      </c>
      <c r="C141" s="53"/>
      <c r="D141" s="53"/>
      <c r="E141" s="196">
        <f t="shared" ref="E141:P141" si="37">SUM(E138:E140)</f>
        <v>9368.5583333332906</v>
      </c>
      <c r="F141" s="196">
        <f t="shared" si="37"/>
        <v>18737.116666666581</v>
      </c>
      <c r="G141" s="196">
        <f t="shared" si="37"/>
        <v>28105.674999999872</v>
      </c>
      <c r="H141" s="196">
        <f t="shared" si="37"/>
        <v>37474.233333333163</v>
      </c>
      <c r="I141" s="196">
        <f t="shared" si="37"/>
        <v>46842.791666666453</v>
      </c>
      <c r="J141" s="196">
        <f t="shared" si="37"/>
        <v>56211.349999999744</v>
      </c>
      <c r="K141" s="196">
        <f t="shared" si="37"/>
        <v>65579.908333333035</v>
      </c>
      <c r="L141" s="196">
        <f t="shared" si="37"/>
        <v>74948.466666666325</v>
      </c>
      <c r="M141" s="196">
        <f t="shared" si="37"/>
        <v>84317.024999999616</v>
      </c>
      <c r="N141" s="196">
        <f t="shared" si="37"/>
        <v>93685.583333332906</v>
      </c>
      <c r="O141" s="196">
        <f t="shared" si="37"/>
        <v>103054.1416666662</v>
      </c>
      <c r="P141" s="196">
        <f t="shared" si="37"/>
        <v>112422.69999999949</v>
      </c>
      <c r="Q141" s="39"/>
      <c r="R141" s="41"/>
      <c r="S141" s="338"/>
      <c r="T141" s="41"/>
      <c r="U141" s="363"/>
    </row>
    <row r="142" spans="1:21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338"/>
      <c r="T142" s="41"/>
      <c r="U142" s="363"/>
    </row>
    <row r="143" spans="1:21" s="37" customFormat="1" ht="12.75" thickBot="1" x14ac:dyDescent="0.25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338"/>
      <c r="T143" s="41"/>
      <c r="U143" s="363"/>
    </row>
    <row r="144" spans="1:21" s="37" customFormat="1" ht="12.75" thickBot="1" x14ac:dyDescent="0.25">
      <c r="C144" s="38"/>
      <c r="E144" s="723" t="s">
        <v>168</v>
      </c>
      <c r="F144" s="724"/>
      <c r="G144" s="724"/>
      <c r="H144" s="724"/>
      <c r="I144" s="724"/>
      <c r="J144" s="724"/>
      <c r="K144" s="724"/>
      <c r="L144" s="724"/>
      <c r="M144" s="724"/>
      <c r="N144" s="724"/>
      <c r="O144" s="724"/>
      <c r="P144" s="725"/>
      <c r="Q144" s="39"/>
      <c r="R144" s="41"/>
      <c r="S144" s="338"/>
      <c r="T144" s="41"/>
      <c r="U144" s="363"/>
    </row>
    <row r="145" spans="3:21" s="37" customFormat="1" ht="12" x14ac:dyDescent="0.2">
      <c r="C145" s="38"/>
      <c r="E145" s="178" t="s">
        <v>155</v>
      </c>
      <c r="F145" s="178" t="s">
        <v>156</v>
      </c>
      <c r="G145" s="178" t="s">
        <v>157</v>
      </c>
      <c r="H145" s="178" t="s">
        <v>158</v>
      </c>
      <c r="I145" s="178" t="s">
        <v>159</v>
      </c>
      <c r="J145" s="178" t="s">
        <v>160</v>
      </c>
      <c r="K145" s="178" t="s">
        <v>161</v>
      </c>
      <c r="L145" s="178" t="s">
        <v>162</v>
      </c>
      <c r="M145" s="178" t="s">
        <v>163</v>
      </c>
      <c r="N145" s="178" t="s">
        <v>164</v>
      </c>
      <c r="O145" s="178" t="s">
        <v>165</v>
      </c>
      <c r="P145" s="178" t="s">
        <v>166</v>
      </c>
      <c r="Q145" s="39"/>
      <c r="R145" s="41"/>
      <c r="S145" s="338"/>
      <c r="T145" s="41"/>
      <c r="U145" s="363"/>
    </row>
    <row r="146" spans="3:21" s="37" customFormat="1" ht="12" hidden="1" x14ac:dyDescent="0.2">
      <c r="C146" s="38"/>
      <c r="D146" s="202" t="s">
        <v>63</v>
      </c>
      <c r="E146" s="179">
        <f>'Rev &amp; Enroll'!Q10</f>
        <v>0</v>
      </c>
      <c r="F146" s="179">
        <f>'Rev &amp; Enroll'!R10</f>
        <v>0</v>
      </c>
      <c r="G146" s="179">
        <f>'Rev &amp; Enroll'!S10</f>
        <v>0</v>
      </c>
      <c r="H146" s="179">
        <f>'Rev &amp; Enroll'!T10</f>
        <v>0</v>
      </c>
      <c r="I146" s="179">
        <f>'Rev &amp; Enroll'!U10</f>
        <v>0</v>
      </c>
      <c r="J146" s="179">
        <f>'Rev &amp; Enroll'!V10</f>
        <v>0</v>
      </c>
      <c r="K146" s="179">
        <f>'Rev &amp; Enroll'!W10</f>
        <v>0</v>
      </c>
      <c r="L146" s="179">
        <f>'Rev &amp; Enroll'!X10</f>
        <v>0</v>
      </c>
      <c r="M146" s="179">
        <f>'Rev &amp; Enroll'!Y10</f>
        <v>0</v>
      </c>
      <c r="N146" s="179">
        <f>'Rev &amp; Enroll'!Z10</f>
        <v>0</v>
      </c>
      <c r="O146" s="179">
        <f>'Rev &amp; Enroll'!AA10</f>
        <v>0</v>
      </c>
      <c r="P146" s="179">
        <f>'Rev &amp; Enroll'!AB10</f>
        <v>0</v>
      </c>
      <c r="Q146" s="39"/>
      <c r="R146" s="41"/>
      <c r="S146" s="338"/>
      <c r="T146" s="41"/>
      <c r="U146" s="363"/>
    </row>
    <row r="147" spans="3:21" s="37" customFormat="1" ht="12" hidden="1" x14ac:dyDescent="0.2">
      <c r="C147" s="38"/>
      <c r="D147" s="202" t="s">
        <v>64</v>
      </c>
      <c r="E147" s="179">
        <f>'Rev &amp; Enroll'!Q11</f>
        <v>0</v>
      </c>
      <c r="F147" s="179">
        <f>'Rev &amp; Enroll'!R11</f>
        <v>0</v>
      </c>
      <c r="G147" s="179">
        <f>'Rev &amp; Enroll'!S11</f>
        <v>0</v>
      </c>
      <c r="H147" s="179">
        <f>'Rev &amp; Enroll'!T11</f>
        <v>0</v>
      </c>
      <c r="I147" s="179">
        <f>'Rev &amp; Enroll'!U11</f>
        <v>0</v>
      </c>
      <c r="J147" s="179">
        <f>'Rev &amp; Enroll'!V11</f>
        <v>0</v>
      </c>
      <c r="K147" s="179">
        <f>'Rev &amp; Enroll'!W11</f>
        <v>0</v>
      </c>
      <c r="L147" s="179">
        <f>'Rev &amp; Enroll'!X11</f>
        <v>0</v>
      </c>
      <c r="M147" s="179">
        <f>'Rev &amp; Enroll'!Y11</f>
        <v>0</v>
      </c>
      <c r="N147" s="179">
        <f>'Rev &amp; Enroll'!Z11</f>
        <v>0</v>
      </c>
      <c r="O147" s="179">
        <f>'Rev &amp; Enroll'!AA11</f>
        <v>0</v>
      </c>
      <c r="P147" s="179">
        <f>'Rev &amp; Enroll'!AB11</f>
        <v>0</v>
      </c>
      <c r="Q147" s="39"/>
      <c r="R147" s="41"/>
      <c r="S147" s="338"/>
      <c r="T147" s="41"/>
      <c r="U147" s="363"/>
    </row>
    <row r="148" spans="3:21" s="37" customFormat="1" ht="12" hidden="1" x14ac:dyDescent="0.2">
      <c r="C148" s="38"/>
      <c r="D148" s="202">
        <v>1</v>
      </c>
      <c r="E148" s="179">
        <f>'Rev &amp; Enroll'!Q12</f>
        <v>0</v>
      </c>
      <c r="F148" s="179">
        <f>'Rev &amp; Enroll'!R12</f>
        <v>0</v>
      </c>
      <c r="G148" s="179">
        <f>'Rev &amp; Enroll'!S12</f>
        <v>0</v>
      </c>
      <c r="H148" s="179">
        <f>'Rev &amp; Enroll'!T12</f>
        <v>0</v>
      </c>
      <c r="I148" s="179">
        <f>'Rev &amp; Enroll'!U12</f>
        <v>0</v>
      </c>
      <c r="J148" s="179">
        <f>'Rev &amp; Enroll'!V12</f>
        <v>0</v>
      </c>
      <c r="K148" s="179">
        <f>'Rev &amp; Enroll'!W12</f>
        <v>0</v>
      </c>
      <c r="L148" s="179">
        <f>'Rev &amp; Enroll'!X12</f>
        <v>0</v>
      </c>
      <c r="M148" s="179">
        <f>'Rev &amp; Enroll'!Y12</f>
        <v>0</v>
      </c>
      <c r="N148" s="179">
        <f>'Rev &amp; Enroll'!Z12</f>
        <v>0</v>
      </c>
      <c r="O148" s="179">
        <f>'Rev &amp; Enroll'!AA12</f>
        <v>0</v>
      </c>
      <c r="P148" s="179">
        <f>'Rev &amp; Enroll'!AB12</f>
        <v>0</v>
      </c>
      <c r="Q148" s="39"/>
      <c r="R148" s="41"/>
      <c r="S148" s="338"/>
      <c r="T148" s="41"/>
      <c r="U148" s="363"/>
    </row>
    <row r="149" spans="3:21" s="37" customFormat="1" ht="12" hidden="1" x14ac:dyDescent="0.2">
      <c r="C149" s="38"/>
      <c r="D149" s="202">
        <v>2</v>
      </c>
      <c r="E149" s="179">
        <f>'Rev &amp; Enroll'!Q13</f>
        <v>0</v>
      </c>
      <c r="F149" s="179">
        <f>'Rev &amp; Enroll'!R13</f>
        <v>0</v>
      </c>
      <c r="G149" s="179">
        <f>'Rev &amp; Enroll'!S13</f>
        <v>0</v>
      </c>
      <c r="H149" s="179">
        <f>'Rev &amp; Enroll'!T13</f>
        <v>0</v>
      </c>
      <c r="I149" s="179">
        <f>'Rev &amp; Enroll'!U13</f>
        <v>0</v>
      </c>
      <c r="J149" s="179">
        <f>'Rev &amp; Enroll'!V13</f>
        <v>0</v>
      </c>
      <c r="K149" s="179">
        <f>'Rev &amp; Enroll'!W13</f>
        <v>0</v>
      </c>
      <c r="L149" s="179">
        <f>'Rev &amp; Enroll'!X13</f>
        <v>0</v>
      </c>
      <c r="M149" s="179">
        <f>'Rev &amp; Enroll'!Y13</f>
        <v>0</v>
      </c>
      <c r="N149" s="179">
        <f>'Rev &amp; Enroll'!Z13</f>
        <v>0</v>
      </c>
      <c r="O149" s="179">
        <f>'Rev &amp; Enroll'!AA13</f>
        <v>0</v>
      </c>
      <c r="P149" s="179">
        <f>'Rev &amp; Enroll'!AB13</f>
        <v>0</v>
      </c>
      <c r="Q149" s="39"/>
      <c r="R149" s="41"/>
      <c r="S149" s="338"/>
      <c r="T149" s="41"/>
      <c r="U149" s="363"/>
    </row>
    <row r="150" spans="3:21" s="37" customFormat="1" ht="12" hidden="1" x14ac:dyDescent="0.2">
      <c r="C150" s="38"/>
      <c r="D150" s="202">
        <v>3</v>
      </c>
      <c r="E150" s="179">
        <f>'Rev &amp; Enroll'!Q14</f>
        <v>0</v>
      </c>
      <c r="F150" s="179">
        <f>'Rev &amp; Enroll'!R14</f>
        <v>0</v>
      </c>
      <c r="G150" s="179">
        <f>'Rev &amp; Enroll'!S14</f>
        <v>0</v>
      </c>
      <c r="H150" s="179">
        <f>'Rev &amp; Enroll'!T14</f>
        <v>0</v>
      </c>
      <c r="I150" s="179">
        <f>'Rev &amp; Enroll'!U14</f>
        <v>0</v>
      </c>
      <c r="J150" s="179">
        <f>'Rev &amp; Enroll'!V14</f>
        <v>0</v>
      </c>
      <c r="K150" s="179">
        <f>'Rev &amp; Enroll'!W14</f>
        <v>0</v>
      </c>
      <c r="L150" s="179">
        <f>'Rev &amp; Enroll'!X14</f>
        <v>0</v>
      </c>
      <c r="M150" s="179">
        <f>'Rev &amp; Enroll'!Y14</f>
        <v>0</v>
      </c>
      <c r="N150" s="179">
        <f>'Rev &amp; Enroll'!Z14</f>
        <v>0</v>
      </c>
      <c r="O150" s="179">
        <f>'Rev &amp; Enroll'!AA14</f>
        <v>0</v>
      </c>
      <c r="P150" s="179">
        <f>'Rev &amp; Enroll'!AB14</f>
        <v>0</v>
      </c>
      <c r="Q150" s="39"/>
      <c r="R150" s="41"/>
      <c r="S150" s="338"/>
      <c r="T150" s="41"/>
      <c r="U150" s="363"/>
    </row>
    <row r="151" spans="3:21" s="37" customFormat="1" ht="12" hidden="1" x14ac:dyDescent="0.2">
      <c r="C151" s="38"/>
      <c r="D151" s="202">
        <v>4</v>
      </c>
      <c r="E151" s="179">
        <f>'Rev &amp; Enroll'!Q15</f>
        <v>0</v>
      </c>
      <c r="F151" s="179">
        <f>'Rev &amp; Enroll'!R15</f>
        <v>0</v>
      </c>
      <c r="G151" s="179">
        <f>'Rev &amp; Enroll'!S15</f>
        <v>0</v>
      </c>
      <c r="H151" s="179">
        <f>'Rev &amp; Enroll'!T15</f>
        <v>0</v>
      </c>
      <c r="I151" s="179">
        <f>'Rev &amp; Enroll'!U15</f>
        <v>0</v>
      </c>
      <c r="J151" s="179">
        <f>'Rev &amp; Enroll'!V15</f>
        <v>0</v>
      </c>
      <c r="K151" s="179">
        <f>'Rev &amp; Enroll'!W15</f>
        <v>0</v>
      </c>
      <c r="L151" s="179">
        <f>'Rev &amp; Enroll'!X15</f>
        <v>0</v>
      </c>
      <c r="M151" s="179">
        <f>'Rev &amp; Enroll'!Y15</f>
        <v>0</v>
      </c>
      <c r="N151" s="179">
        <f>'Rev &amp; Enroll'!Z15</f>
        <v>0</v>
      </c>
      <c r="O151" s="179">
        <f>'Rev &amp; Enroll'!AA15</f>
        <v>0</v>
      </c>
      <c r="P151" s="179">
        <f>'Rev &amp; Enroll'!AB15</f>
        <v>0</v>
      </c>
      <c r="Q151" s="39"/>
      <c r="R151" s="41"/>
      <c r="S151" s="338"/>
      <c r="T151" s="41"/>
      <c r="U151" s="363"/>
    </row>
    <row r="152" spans="3:21" s="37" customFormat="1" ht="12" hidden="1" x14ac:dyDescent="0.2">
      <c r="C152" s="38"/>
      <c r="D152" s="202">
        <v>5</v>
      </c>
      <c r="E152" s="179">
        <f>'Rev &amp; Enroll'!Q16</f>
        <v>0</v>
      </c>
      <c r="F152" s="179">
        <f>'Rev &amp; Enroll'!R16</f>
        <v>0</v>
      </c>
      <c r="G152" s="179">
        <f>'Rev &amp; Enroll'!S16</f>
        <v>0</v>
      </c>
      <c r="H152" s="179">
        <f>'Rev &amp; Enroll'!T16</f>
        <v>0</v>
      </c>
      <c r="I152" s="179">
        <f>'Rev &amp; Enroll'!U16</f>
        <v>0</v>
      </c>
      <c r="J152" s="179">
        <f>'Rev &amp; Enroll'!V16</f>
        <v>0</v>
      </c>
      <c r="K152" s="179">
        <f>'Rev &amp; Enroll'!W16</f>
        <v>0</v>
      </c>
      <c r="L152" s="179">
        <f>'Rev &amp; Enroll'!X16</f>
        <v>0</v>
      </c>
      <c r="M152" s="179">
        <f>'Rev &amp; Enroll'!Y16</f>
        <v>0</v>
      </c>
      <c r="N152" s="179">
        <f>'Rev &amp; Enroll'!Z16</f>
        <v>0</v>
      </c>
      <c r="O152" s="179">
        <f>'Rev &amp; Enroll'!AA16</f>
        <v>0</v>
      </c>
      <c r="P152" s="179">
        <f>'Rev &amp; Enroll'!AB16</f>
        <v>0</v>
      </c>
      <c r="Q152" s="39"/>
      <c r="R152" s="41"/>
      <c r="S152" s="338"/>
      <c r="T152" s="41"/>
      <c r="U152" s="363"/>
    </row>
    <row r="153" spans="3:21" s="37" customFormat="1" ht="12" hidden="1" x14ac:dyDescent="0.2">
      <c r="C153" s="38"/>
      <c r="D153" s="202">
        <v>6</v>
      </c>
      <c r="E153" s="179">
        <f>'Rev &amp; Enroll'!Q17</f>
        <v>0</v>
      </c>
      <c r="F153" s="179">
        <f>'Rev &amp; Enroll'!R17</f>
        <v>0</v>
      </c>
      <c r="G153" s="179">
        <f>'Rev &amp; Enroll'!S17</f>
        <v>0</v>
      </c>
      <c r="H153" s="179">
        <f>'Rev &amp; Enroll'!T17</f>
        <v>0</v>
      </c>
      <c r="I153" s="179">
        <f>'Rev &amp; Enroll'!U17</f>
        <v>0</v>
      </c>
      <c r="J153" s="179">
        <f>'Rev &amp; Enroll'!V17</f>
        <v>0</v>
      </c>
      <c r="K153" s="179">
        <f>'Rev &amp; Enroll'!W17</f>
        <v>0</v>
      </c>
      <c r="L153" s="179">
        <f>'Rev &amp; Enroll'!X17</f>
        <v>0</v>
      </c>
      <c r="M153" s="179">
        <f>'Rev &amp; Enroll'!Y17</f>
        <v>0</v>
      </c>
      <c r="N153" s="179">
        <f>'Rev &amp; Enroll'!Z17</f>
        <v>0</v>
      </c>
      <c r="O153" s="179">
        <f>'Rev &amp; Enroll'!AA17</f>
        <v>0</v>
      </c>
      <c r="P153" s="179">
        <f>'Rev &amp; Enroll'!AB17</f>
        <v>0</v>
      </c>
      <c r="Q153" s="39"/>
      <c r="R153" s="41"/>
      <c r="S153" s="338"/>
      <c r="T153" s="41"/>
      <c r="U153" s="363"/>
    </row>
    <row r="154" spans="3:21" s="37" customFormat="1" ht="12" hidden="1" x14ac:dyDescent="0.2">
      <c r="C154" s="38"/>
      <c r="D154" s="202">
        <v>7</v>
      </c>
      <c r="E154" s="179">
        <f>'Rev &amp; Enroll'!Q18</f>
        <v>0</v>
      </c>
      <c r="F154" s="179">
        <f>'Rev &amp; Enroll'!R18</f>
        <v>0</v>
      </c>
      <c r="G154" s="179">
        <f>'Rev &amp; Enroll'!S18</f>
        <v>0</v>
      </c>
      <c r="H154" s="179">
        <f>'Rev &amp; Enroll'!T18</f>
        <v>0</v>
      </c>
      <c r="I154" s="179">
        <f>'Rev &amp; Enroll'!U18</f>
        <v>0</v>
      </c>
      <c r="J154" s="179">
        <f>'Rev &amp; Enroll'!V18</f>
        <v>0</v>
      </c>
      <c r="K154" s="179">
        <f>'Rev &amp; Enroll'!W18</f>
        <v>0</v>
      </c>
      <c r="L154" s="179">
        <f>'Rev &amp; Enroll'!X18</f>
        <v>0</v>
      </c>
      <c r="M154" s="179">
        <f>'Rev &amp; Enroll'!Y18</f>
        <v>0</v>
      </c>
      <c r="N154" s="179">
        <f>'Rev &amp; Enroll'!Z18</f>
        <v>0</v>
      </c>
      <c r="O154" s="179">
        <f>'Rev &amp; Enroll'!AA18</f>
        <v>0</v>
      </c>
      <c r="P154" s="179">
        <f>'Rev &amp; Enroll'!AB18</f>
        <v>0</v>
      </c>
      <c r="Q154" s="39"/>
      <c r="R154" s="41"/>
      <c r="S154" s="338"/>
      <c r="T154" s="41"/>
      <c r="U154" s="363"/>
    </row>
    <row r="155" spans="3:21" s="37" customFormat="1" ht="12" hidden="1" x14ac:dyDescent="0.2">
      <c r="C155" s="38"/>
      <c r="D155" s="202">
        <v>8</v>
      </c>
      <c r="E155" s="179">
        <f>'Rev &amp; Enroll'!Q19</f>
        <v>0</v>
      </c>
      <c r="F155" s="179">
        <f>'Rev &amp; Enroll'!R19</f>
        <v>0</v>
      </c>
      <c r="G155" s="179">
        <f>'Rev &amp; Enroll'!S19</f>
        <v>0</v>
      </c>
      <c r="H155" s="179">
        <f>'Rev &amp; Enroll'!T19</f>
        <v>0</v>
      </c>
      <c r="I155" s="179">
        <f>'Rev &amp; Enroll'!U19</f>
        <v>0</v>
      </c>
      <c r="J155" s="179">
        <f>'Rev &amp; Enroll'!V19</f>
        <v>0</v>
      </c>
      <c r="K155" s="179">
        <f>'Rev &amp; Enroll'!W19</f>
        <v>0</v>
      </c>
      <c r="L155" s="179">
        <f>'Rev &amp; Enroll'!X19</f>
        <v>0</v>
      </c>
      <c r="M155" s="179">
        <f>'Rev &amp; Enroll'!Y19</f>
        <v>0</v>
      </c>
      <c r="N155" s="179">
        <f>'Rev &amp; Enroll'!Z19</f>
        <v>0</v>
      </c>
      <c r="O155" s="179">
        <f>'Rev &amp; Enroll'!AA19</f>
        <v>0</v>
      </c>
      <c r="P155" s="179">
        <f>'Rev &amp; Enroll'!AB19</f>
        <v>0</v>
      </c>
      <c r="Q155" s="39"/>
      <c r="R155" s="41"/>
      <c r="S155" s="338"/>
      <c r="T155" s="41"/>
      <c r="U155" s="363"/>
    </row>
    <row r="156" spans="3:21" s="37" customFormat="1" ht="12" hidden="1" x14ac:dyDescent="0.2">
      <c r="C156" s="38"/>
      <c r="D156" s="202">
        <v>9</v>
      </c>
      <c r="E156" s="179">
        <f>'Rev &amp; Enroll'!Q20</f>
        <v>0</v>
      </c>
      <c r="F156" s="179">
        <f>'Rev &amp; Enroll'!R20</f>
        <v>0</v>
      </c>
      <c r="G156" s="179">
        <f>'Rev &amp; Enroll'!S20</f>
        <v>0</v>
      </c>
      <c r="H156" s="179">
        <f>'Rev &amp; Enroll'!T20</f>
        <v>0</v>
      </c>
      <c r="I156" s="179">
        <f>'Rev &amp; Enroll'!U20</f>
        <v>0</v>
      </c>
      <c r="J156" s="179">
        <f>'Rev &amp; Enroll'!V20</f>
        <v>0</v>
      </c>
      <c r="K156" s="179">
        <f>'Rev &amp; Enroll'!W20</f>
        <v>0</v>
      </c>
      <c r="L156" s="179">
        <f>'Rev &amp; Enroll'!X20</f>
        <v>0</v>
      </c>
      <c r="M156" s="179">
        <f>'Rev &amp; Enroll'!Y20</f>
        <v>0</v>
      </c>
      <c r="N156" s="179">
        <f>'Rev &amp; Enroll'!Z20</f>
        <v>0</v>
      </c>
      <c r="O156" s="179">
        <f>'Rev &amp; Enroll'!AA20</f>
        <v>0</v>
      </c>
      <c r="P156" s="179">
        <f>'Rev &amp; Enroll'!AB20</f>
        <v>0</v>
      </c>
      <c r="Q156" s="39"/>
      <c r="R156" s="41"/>
      <c r="S156" s="338"/>
      <c r="T156" s="41"/>
      <c r="U156" s="363"/>
    </row>
    <row r="157" spans="3:21" s="37" customFormat="1" ht="12" hidden="1" x14ac:dyDescent="0.2">
      <c r="C157" s="38"/>
      <c r="D157" s="202">
        <v>10</v>
      </c>
      <c r="E157" s="179">
        <f>'Rev &amp; Enroll'!Q21</f>
        <v>0</v>
      </c>
      <c r="F157" s="179">
        <f>'Rev &amp; Enroll'!R21</f>
        <v>0</v>
      </c>
      <c r="G157" s="179">
        <f>'Rev &amp; Enroll'!S21</f>
        <v>0</v>
      </c>
      <c r="H157" s="179">
        <f>'Rev &amp; Enroll'!T21</f>
        <v>0</v>
      </c>
      <c r="I157" s="179">
        <f>'Rev &amp; Enroll'!U21</f>
        <v>0</v>
      </c>
      <c r="J157" s="179">
        <f>'Rev &amp; Enroll'!V21</f>
        <v>0</v>
      </c>
      <c r="K157" s="179">
        <f>'Rev &amp; Enroll'!W21</f>
        <v>0</v>
      </c>
      <c r="L157" s="179">
        <f>'Rev &amp; Enroll'!X21</f>
        <v>0</v>
      </c>
      <c r="M157" s="179">
        <f>'Rev &amp; Enroll'!Y21</f>
        <v>0</v>
      </c>
      <c r="N157" s="179">
        <f>'Rev &amp; Enroll'!Z21</f>
        <v>0</v>
      </c>
      <c r="O157" s="179">
        <f>'Rev &amp; Enroll'!AA21</f>
        <v>0</v>
      </c>
      <c r="P157" s="179">
        <f>'Rev &amp; Enroll'!AB21</f>
        <v>0</v>
      </c>
      <c r="Q157" s="39"/>
      <c r="R157" s="41"/>
      <c r="S157" s="338"/>
      <c r="T157" s="41"/>
      <c r="U157" s="363"/>
    </row>
    <row r="158" spans="3:21" s="37" customFormat="1" ht="12" x14ac:dyDescent="0.2">
      <c r="C158" s="38"/>
      <c r="D158" s="202">
        <v>11</v>
      </c>
      <c r="E158" s="179">
        <v>160</v>
      </c>
      <c r="F158" s="179">
        <v>160</v>
      </c>
      <c r="G158" s="179">
        <v>160</v>
      </c>
      <c r="H158" s="179">
        <v>160</v>
      </c>
      <c r="I158" s="179">
        <v>160</v>
      </c>
      <c r="J158" s="179">
        <v>160</v>
      </c>
      <c r="K158" s="179">
        <v>160</v>
      </c>
      <c r="L158" s="179">
        <v>160</v>
      </c>
      <c r="M158" s="179">
        <v>160</v>
      </c>
      <c r="N158" s="179">
        <v>160</v>
      </c>
      <c r="O158" s="179">
        <v>160</v>
      </c>
      <c r="P158" s="179">
        <v>160</v>
      </c>
      <c r="Q158" s="39"/>
      <c r="R158" s="41"/>
      <c r="S158" s="338"/>
      <c r="T158" s="41"/>
      <c r="U158" s="363"/>
    </row>
    <row r="159" spans="3:21" s="37" customFormat="1" ht="12" x14ac:dyDescent="0.2">
      <c r="C159" s="38"/>
      <c r="D159" s="202">
        <v>12</v>
      </c>
      <c r="E159" s="179">
        <v>181</v>
      </c>
      <c r="F159" s="179">
        <v>181</v>
      </c>
      <c r="G159" s="179">
        <v>181</v>
      </c>
      <c r="H159" s="179">
        <v>181</v>
      </c>
      <c r="I159" s="179">
        <v>181</v>
      </c>
      <c r="J159" s="179">
        <v>181</v>
      </c>
      <c r="K159" s="179">
        <v>181</v>
      </c>
      <c r="L159" s="179">
        <v>181</v>
      </c>
      <c r="M159" s="179">
        <v>181</v>
      </c>
      <c r="N159" s="179">
        <v>181</v>
      </c>
      <c r="O159" s="179">
        <v>181</v>
      </c>
      <c r="P159" s="179">
        <v>181</v>
      </c>
      <c r="Q159" s="201" t="s">
        <v>183</v>
      </c>
      <c r="R159" s="41"/>
      <c r="S159" s="338"/>
      <c r="T159" s="41"/>
      <c r="U159" s="363"/>
    </row>
    <row r="160" spans="3:21" s="37" customFormat="1" ht="12" x14ac:dyDescent="0.2">
      <c r="C160" s="38"/>
      <c r="D160" s="203" t="s">
        <v>66</v>
      </c>
      <c r="E160" s="180">
        <f t="shared" ref="E160:P160" si="38">SUM(E146:E159)</f>
        <v>341</v>
      </c>
      <c r="F160" s="180">
        <f t="shared" si="38"/>
        <v>341</v>
      </c>
      <c r="G160" s="180">
        <f t="shared" si="38"/>
        <v>341</v>
      </c>
      <c r="H160" s="180">
        <f t="shared" si="38"/>
        <v>341</v>
      </c>
      <c r="I160" s="180">
        <f t="shared" si="38"/>
        <v>341</v>
      </c>
      <c r="J160" s="180">
        <f t="shared" si="38"/>
        <v>341</v>
      </c>
      <c r="K160" s="180">
        <f t="shared" si="38"/>
        <v>341</v>
      </c>
      <c r="L160" s="180">
        <f t="shared" si="38"/>
        <v>341</v>
      </c>
      <c r="M160" s="180">
        <f t="shared" si="38"/>
        <v>341</v>
      </c>
      <c r="N160" s="180">
        <f t="shared" si="38"/>
        <v>341</v>
      </c>
      <c r="O160" s="180">
        <f t="shared" si="38"/>
        <v>341</v>
      </c>
      <c r="P160" s="180">
        <f t="shared" si="38"/>
        <v>341</v>
      </c>
      <c r="Q160" s="201">
        <f>AVERAGE(E160:P160)</f>
        <v>341</v>
      </c>
      <c r="R160" s="41"/>
      <c r="S160" s="338"/>
      <c r="T160" s="41"/>
      <c r="U160" s="363"/>
    </row>
    <row r="161" spans="3:21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338"/>
      <c r="T161" s="41"/>
      <c r="U161" s="363"/>
    </row>
    <row r="162" spans="3:21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338"/>
      <c r="T162" s="41"/>
      <c r="U162" s="363"/>
    </row>
    <row r="163" spans="3:21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338"/>
      <c r="T163" s="41"/>
      <c r="U163" s="363"/>
    </row>
    <row r="164" spans="3:21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338"/>
      <c r="T164" s="41"/>
      <c r="U164" s="363"/>
    </row>
    <row r="165" spans="3:21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338"/>
      <c r="T165" s="41"/>
      <c r="U165" s="363"/>
    </row>
    <row r="166" spans="3:21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338"/>
      <c r="T166" s="41"/>
      <c r="U166" s="363"/>
    </row>
    <row r="167" spans="3:21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338"/>
      <c r="T167" s="41"/>
      <c r="U167" s="363"/>
    </row>
    <row r="168" spans="3:21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338"/>
      <c r="T168" s="41"/>
      <c r="U168" s="363"/>
    </row>
    <row r="169" spans="3:21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338"/>
      <c r="T169" s="41"/>
      <c r="U169" s="363"/>
    </row>
    <row r="170" spans="3:21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338"/>
      <c r="T170" s="41"/>
      <c r="U170" s="363"/>
    </row>
    <row r="171" spans="3:21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338"/>
      <c r="T171" s="41"/>
      <c r="U171" s="363"/>
    </row>
    <row r="172" spans="3:21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338"/>
      <c r="T172" s="41"/>
      <c r="U172" s="363"/>
    </row>
    <row r="173" spans="3:21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338"/>
      <c r="T173" s="41"/>
      <c r="U173" s="363"/>
    </row>
    <row r="174" spans="3:21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338"/>
      <c r="T174" s="41"/>
      <c r="U174" s="363"/>
    </row>
    <row r="175" spans="3:21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338"/>
      <c r="T175" s="41"/>
      <c r="U175" s="363"/>
    </row>
    <row r="176" spans="3:21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338"/>
      <c r="T176" s="41"/>
      <c r="U176" s="363"/>
    </row>
    <row r="177" spans="3:21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338"/>
      <c r="T177" s="41"/>
      <c r="U177" s="363"/>
    </row>
    <row r="178" spans="3:21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338"/>
      <c r="T178" s="41"/>
      <c r="U178" s="363"/>
    </row>
    <row r="179" spans="3:21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338"/>
      <c r="T179" s="41"/>
      <c r="U179" s="363"/>
    </row>
    <row r="180" spans="3:21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338"/>
      <c r="T180" s="41"/>
      <c r="U180" s="363"/>
    </row>
    <row r="181" spans="3:21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338"/>
      <c r="T181" s="41"/>
      <c r="U181" s="363"/>
    </row>
    <row r="182" spans="3:21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338"/>
      <c r="T182" s="41"/>
      <c r="U182" s="363"/>
    </row>
    <row r="183" spans="3:21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338"/>
      <c r="T183" s="41"/>
      <c r="U183" s="363"/>
    </row>
    <row r="184" spans="3:21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338"/>
      <c r="T184" s="41"/>
      <c r="U184" s="363"/>
    </row>
    <row r="185" spans="3:21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338"/>
      <c r="T185" s="41"/>
      <c r="U185" s="363"/>
    </row>
    <row r="186" spans="3:21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338"/>
      <c r="T186" s="41"/>
      <c r="U186" s="363"/>
    </row>
    <row r="187" spans="3:21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338"/>
      <c r="T187" s="41"/>
      <c r="U187" s="363"/>
    </row>
    <row r="188" spans="3:21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338"/>
      <c r="T188" s="41"/>
      <c r="U188" s="363"/>
    </row>
    <row r="189" spans="3:21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338"/>
      <c r="T189" s="41"/>
      <c r="U189" s="363"/>
    </row>
    <row r="190" spans="3:21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338"/>
      <c r="T190" s="41"/>
      <c r="U190" s="363"/>
    </row>
    <row r="191" spans="3:21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338"/>
      <c r="T191" s="41"/>
      <c r="U191" s="363"/>
    </row>
    <row r="192" spans="3:21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338"/>
      <c r="T192" s="41"/>
      <c r="U192" s="363"/>
    </row>
    <row r="193" spans="3:21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338"/>
      <c r="T193" s="41"/>
      <c r="U193" s="363"/>
    </row>
    <row r="194" spans="3:21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338"/>
      <c r="T194" s="41"/>
      <c r="U194" s="363"/>
    </row>
    <row r="195" spans="3:21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338"/>
      <c r="T195" s="41"/>
      <c r="U195" s="363"/>
    </row>
    <row r="196" spans="3:21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338"/>
      <c r="T196" s="41"/>
      <c r="U196" s="363"/>
    </row>
    <row r="197" spans="3:21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338"/>
      <c r="T197" s="41"/>
      <c r="U197" s="363"/>
    </row>
    <row r="198" spans="3:21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338"/>
      <c r="T198" s="41"/>
      <c r="U198" s="363"/>
    </row>
    <row r="199" spans="3:21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338"/>
      <c r="T199" s="41"/>
      <c r="U199" s="363"/>
    </row>
    <row r="200" spans="3:21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338"/>
      <c r="T200" s="41"/>
      <c r="U200" s="363"/>
    </row>
    <row r="201" spans="3:21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338"/>
      <c r="T201" s="41"/>
      <c r="U201" s="363"/>
    </row>
    <row r="202" spans="3:21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338"/>
      <c r="T202" s="41"/>
      <c r="U202" s="363"/>
    </row>
    <row r="203" spans="3:21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338"/>
      <c r="T203" s="41"/>
      <c r="U203" s="363"/>
    </row>
    <row r="204" spans="3:21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338"/>
      <c r="T204" s="41"/>
      <c r="U204" s="363"/>
    </row>
    <row r="205" spans="3:21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338"/>
      <c r="T205" s="41"/>
      <c r="U205" s="363"/>
    </row>
    <row r="206" spans="3:21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338"/>
      <c r="T206" s="41"/>
      <c r="U206" s="363"/>
    </row>
    <row r="207" spans="3:21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338"/>
      <c r="T207" s="41"/>
      <c r="U207" s="363"/>
    </row>
    <row r="208" spans="3:21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338"/>
      <c r="T208" s="41"/>
      <c r="U208" s="363"/>
    </row>
    <row r="209" spans="3:21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338"/>
      <c r="T209" s="41"/>
      <c r="U209" s="363"/>
    </row>
    <row r="210" spans="3:21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338"/>
      <c r="T210" s="41"/>
      <c r="U210" s="363"/>
    </row>
    <row r="211" spans="3:21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338"/>
      <c r="T211" s="41"/>
      <c r="U211" s="363"/>
    </row>
    <row r="212" spans="3:21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338"/>
      <c r="T212" s="41"/>
      <c r="U212" s="363"/>
    </row>
    <row r="213" spans="3:21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338"/>
      <c r="T213" s="41"/>
      <c r="U213" s="363"/>
    </row>
    <row r="214" spans="3:21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338"/>
      <c r="T214" s="41"/>
      <c r="U214" s="363"/>
    </row>
    <row r="215" spans="3:21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338"/>
      <c r="T215" s="41"/>
      <c r="U215" s="363"/>
    </row>
    <row r="216" spans="3:21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338"/>
      <c r="T216" s="41"/>
      <c r="U216" s="363"/>
    </row>
    <row r="217" spans="3:21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338"/>
      <c r="T217" s="41"/>
      <c r="U217" s="363"/>
    </row>
    <row r="218" spans="3:21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338"/>
      <c r="T218" s="41"/>
      <c r="U218" s="363"/>
    </row>
    <row r="219" spans="3:21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338"/>
      <c r="T219" s="41"/>
      <c r="U219" s="363"/>
    </row>
    <row r="220" spans="3:21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338"/>
      <c r="T220" s="41"/>
      <c r="U220" s="363"/>
    </row>
    <row r="221" spans="3:21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338"/>
      <c r="T221" s="41"/>
      <c r="U221" s="363"/>
    </row>
    <row r="222" spans="3:21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338"/>
      <c r="T222" s="41"/>
      <c r="U222" s="363"/>
    </row>
    <row r="223" spans="3:21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338"/>
      <c r="T223" s="41"/>
      <c r="U223" s="363"/>
    </row>
    <row r="224" spans="3:21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338"/>
      <c r="T224" s="41"/>
      <c r="U224" s="363"/>
    </row>
    <row r="225" spans="3:21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338"/>
      <c r="T225" s="41"/>
      <c r="U225" s="363"/>
    </row>
    <row r="226" spans="3:21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338"/>
      <c r="T226" s="41"/>
      <c r="U226" s="363"/>
    </row>
    <row r="227" spans="3:21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338"/>
      <c r="T227" s="41"/>
      <c r="U227" s="363"/>
    </row>
    <row r="228" spans="3:21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338"/>
      <c r="T228" s="41"/>
      <c r="U228" s="363"/>
    </row>
    <row r="229" spans="3:21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338"/>
      <c r="T229" s="41"/>
      <c r="U229" s="363"/>
    </row>
    <row r="230" spans="3:21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338"/>
      <c r="T230" s="41"/>
      <c r="U230" s="363"/>
    </row>
    <row r="231" spans="3:21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338"/>
      <c r="T231" s="41"/>
      <c r="U231" s="363"/>
    </row>
    <row r="232" spans="3:21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338"/>
      <c r="T232" s="41"/>
      <c r="U232" s="363"/>
    </row>
    <row r="233" spans="3:21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338"/>
      <c r="T233" s="41"/>
      <c r="U233" s="363"/>
    </row>
    <row r="234" spans="3:21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338"/>
      <c r="T234" s="41"/>
      <c r="U234" s="363"/>
    </row>
    <row r="235" spans="3:21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338"/>
      <c r="T235" s="41"/>
      <c r="U235" s="363"/>
    </row>
    <row r="236" spans="3:21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338"/>
      <c r="T236" s="41"/>
      <c r="U236" s="363"/>
    </row>
    <row r="237" spans="3:21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338"/>
      <c r="T237" s="41"/>
      <c r="U237" s="363"/>
    </row>
    <row r="238" spans="3:21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338"/>
      <c r="T238" s="41"/>
      <c r="U238" s="363"/>
    </row>
    <row r="239" spans="3:21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338"/>
      <c r="T239" s="41"/>
      <c r="U239" s="363"/>
    </row>
    <row r="240" spans="3:21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338"/>
      <c r="T240" s="41"/>
      <c r="U240" s="363"/>
    </row>
    <row r="241" spans="3:21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338"/>
      <c r="T241" s="41"/>
      <c r="U241" s="363"/>
    </row>
    <row r="242" spans="3:21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338"/>
      <c r="T242" s="41"/>
      <c r="U242" s="363"/>
    </row>
    <row r="243" spans="3:21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338"/>
      <c r="T243" s="41"/>
      <c r="U243" s="363"/>
    </row>
    <row r="244" spans="3:21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338"/>
      <c r="T244" s="41"/>
      <c r="U244" s="363"/>
    </row>
    <row r="245" spans="3:21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338"/>
      <c r="T245" s="41"/>
      <c r="U245" s="363"/>
    </row>
    <row r="246" spans="3:21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338"/>
      <c r="T246" s="41"/>
      <c r="U246" s="363"/>
    </row>
    <row r="247" spans="3:21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338"/>
      <c r="T247" s="41"/>
      <c r="U247" s="363"/>
    </row>
    <row r="248" spans="3:21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338"/>
      <c r="T248" s="41"/>
      <c r="U248" s="363"/>
    </row>
    <row r="249" spans="3:21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338"/>
      <c r="T249" s="41"/>
      <c r="U249" s="363"/>
    </row>
    <row r="250" spans="3:21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338"/>
      <c r="T250" s="41"/>
      <c r="U250" s="363"/>
    </row>
    <row r="251" spans="3:21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338"/>
      <c r="T251" s="41"/>
      <c r="U251" s="363"/>
    </row>
    <row r="252" spans="3:21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338"/>
      <c r="T252" s="41"/>
      <c r="U252" s="363"/>
    </row>
    <row r="253" spans="3:21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338"/>
      <c r="T253" s="41"/>
      <c r="U253" s="363"/>
    </row>
    <row r="254" spans="3:21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338"/>
      <c r="T254" s="41"/>
      <c r="U254" s="363"/>
    </row>
    <row r="255" spans="3:21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338"/>
      <c r="T255" s="41"/>
      <c r="U255" s="363"/>
    </row>
    <row r="256" spans="3:21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338"/>
      <c r="T256" s="41"/>
      <c r="U256" s="363"/>
    </row>
    <row r="257" spans="3:21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338"/>
      <c r="T257" s="41"/>
      <c r="U257" s="363"/>
    </row>
    <row r="258" spans="3:21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338"/>
      <c r="T258" s="41"/>
      <c r="U258" s="363"/>
    </row>
    <row r="259" spans="3:21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338"/>
      <c r="T259" s="41"/>
      <c r="U259" s="363"/>
    </row>
    <row r="260" spans="3:21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338"/>
      <c r="T260" s="41"/>
      <c r="U260" s="363"/>
    </row>
    <row r="261" spans="3:21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338"/>
      <c r="T261" s="41"/>
      <c r="U261" s="363"/>
    </row>
    <row r="262" spans="3:21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338"/>
      <c r="T262" s="41"/>
      <c r="U262" s="363"/>
    </row>
    <row r="263" spans="3:21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338"/>
      <c r="T263" s="41"/>
      <c r="U263" s="363"/>
    </row>
    <row r="264" spans="3:21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338"/>
      <c r="T264" s="41"/>
      <c r="U264" s="363"/>
    </row>
    <row r="265" spans="3:21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338"/>
      <c r="T265" s="41"/>
      <c r="U265" s="363"/>
    </row>
    <row r="266" spans="3:21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338"/>
      <c r="T266" s="41"/>
      <c r="U266" s="363"/>
    </row>
    <row r="267" spans="3:21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338"/>
      <c r="T267" s="41"/>
      <c r="U267" s="363"/>
    </row>
    <row r="268" spans="3:21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338"/>
      <c r="T268" s="41"/>
      <c r="U268" s="363"/>
    </row>
    <row r="269" spans="3:21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338"/>
      <c r="T269" s="41"/>
      <c r="U269" s="363"/>
    </row>
    <row r="270" spans="3:21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338"/>
      <c r="T270" s="41"/>
      <c r="U270" s="363"/>
    </row>
    <row r="271" spans="3:21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338"/>
      <c r="T271" s="41"/>
      <c r="U271" s="363"/>
    </row>
    <row r="272" spans="3:21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338"/>
      <c r="T272" s="41"/>
      <c r="U272" s="363"/>
    </row>
    <row r="273" spans="3:21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338"/>
      <c r="T273" s="41"/>
      <c r="U273" s="363"/>
    </row>
    <row r="274" spans="3:21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338"/>
      <c r="T274" s="41"/>
      <c r="U274" s="363"/>
    </row>
    <row r="275" spans="3:21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338"/>
      <c r="T275" s="41"/>
      <c r="U275" s="363"/>
    </row>
    <row r="276" spans="3:21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338"/>
      <c r="T276" s="41"/>
      <c r="U276" s="363"/>
    </row>
    <row r="277" spans="3:21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</row>
  </sheetData>
  <mergeCells count="1">
    <mergeCell ref="E144:P144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DF35-9E3A-44C5-8E1F-87670FC4A622}">
  <dimension ref="A3:L70"/>
  <sheetViews>
    <sheetView topLeftCell="A43" zoomScale="85" zoomScaleNormal="85" workbookViewId="0"/>
  </sheetViews>
  <sheetFormatPr defaultRowHeight="15" x14ac:dyDescent="0.25"/>
  <cols>
    <col min="1" max="1" width="13.28515625" bestFit="1" customWidth="1"/>
    <col min="2" max="2" width="14.85546875" style="691" bestFit="1" customWidth="1"/>
    <col min="3" max="3" width="9.140625" style="691"/>
    <col min="4" max="6" width="14.28515625" style="691" bestFit="1" customWidth="1"/>
    <col min="7" max="12" width="9.140625" style="691"/>
  </cols>
  <sheetData>
    <row r="3" spans="1:7" x14ac:dyDescent="0.25">
      <c r="A3" s="683" t="s">
        <v>635</v>
      </c>
      <c r="B3" t="s">
        <v>641</v>
      </c>
    </row>
    <row r="4" spans="1:7" x14ac:dyDescent="0.25">
      <c r="A4" s="579">
        <v>1110</v>
      </c>
      <c r="B4" s="690">
        <v>359250.00249599997</v>
      </c>
    </row>
    <row r="5" spans="1:7" x14ac:dyDescent="0.25">
      <c r="A5" s="579">
        <v>1120</v>
      </c>
      <c r="B5" s="690">
        <v>394630.68456000002</v>
      </c>
    </row>
    <row r="6" spans="1:7" x14ac:dyDescent="0.25">
      <c r="A6" s="579">
        <v>1191</v>
      </c>
      <c r="B6" s="690">
        <v>1360.795464</v>
      </c>
    </row>
    <row r="7" spans="1:7" x14ac:dyDescent="0.25">
      <c r="A7" s="579">
        <v>1192</v>
      </c>
      <c r="B7" s="690">
        <v>42184.659384000006</v>
      </c>
    </row>
    <row r="8" spans="1:7" x14ac:dyDescent="0.25">
      <c r="A8" s="579">
        <v>1790</v>
      </c>
      <c r="B8" s="690">
        <v>0</v>
      </c>
    </row>
    <row r="9" spans="1:7" x14ac:dyDescent="0.25">
      <c r="A9" s="579">
        <v>3110</v>
      </c>
      <c r="B9" s="690">
        <v>563369.32209599984</v>
      </c>
    </row>
    <row r="10" spans="1:7" x14ac:dyDescent="0.25">
      <c r="A10" s="579">
        <v>3115</v>
      </c>
      <c r="B10" s="690">
        <v>0</v>
      </c>
    </row>
    <row r="11" spans="1:7" x14ac:dyDescent="0.25">
      <c r="A11" s="579">
        <v>3200</v>
      </c>
      <c r="B11" s="690">
        <v>384</v>
      </c>
    </row>
    <row r="12" spans="1:7" x14ac:dyDescent="0.25">
      <c r="A12" s="579">
        <v>4500</v>
      </c>
      <c r="B12" s="690">
        <v>0</v>
      </c>
    </row>
    <row r="13" spans="1:7" x14ac:dyDescent="0.25">
      <c r="A13" s="579">
        <v>4571</v>
      </c>
      <c r="B13" s="690">
        <v>0</v>
      </c>
    </row>
    <row r="14" spans="1:7" x14ac:dyDescent="0.25">
      <c r="A14" s="579">
        <v>4703</v>
      </c>
      <c r="B14" s="690">
        <v>0</v>
      </c>
      <c r="D14" s="691">
        <f>SUM(B4:B14)</f>
        <v>1361179.4639999997</v>
      </c>
      <c r="E14" s="692">
        <v>1361179</v>
      </c>
      <c r="F14" s="691">
        <f>D14-E14</f>
        <v>0.46399999968707561</v>
      </c>
      <c r="G14" s="691" t="s">
        <v>642</v>
      </c>
    </row>
    <row r="15" spans="1:7" x14ac:dyDescent="0.25">
      <c r="A15" s="579">
        <v>6111</v>
      </c>
      <c r="B15" s="690">
        <v>109442.56499999999</v>
      </c>
    </row>
    <row r="16" spans="1:7" x14ac:dyDescent="0.25">
      <c r="A16" s="579">
        <v>6114</v>
      </c>
      <c r="B16" s="690">
        <v>98381.25</v>
      </c>
    </row>
    <row r="17" spans="1:7" x14ac:dyDescent="0.25">
      <c r="A17" s="579">
        <v>6117</v>
      </c>
      <c r="B17" s="690">
        <v>46081.079999999987</v>
      </c>
    </row>
    <row r="18" spans="1:7" x14ac:dyDescent="0.25">
      <c r="A18" s="579">
        <v>6127</v>
      </c>
      <c r="B18" s="690">
        <v>39520</v>
      </c>
    </row>
    <row r="19" spans="1:7" x14ac:dyDescent="0.25">
      <c r="A19" s="579">
        <v>6151</v>
      </c>
      <c r="B19" s="690">
        <v>6000</v>
      </c>
    </row>
    <row r="20" spans="1:7" x14ac:dyDescent="0.25">
      <c r="A20" s="579">
        <v>6154</v>
      </c>
      <c r="B20" s="690">
        <v>6895</v>
      </c>
    </row>
    <row r="21" spans="1:7" x14ac:dyDescent="0.25">
      <c r="A21" s="579">
        <v>6157</v>
      </c>
      <c r="B21" s="690">
        <v>3000</v>
      </c>
    </row>
    <row r="22" spans="1:7" x14ac:dyDescent="0.25">
      <c r="A22" s="579">
        <v>6161</v>
      </c>
      <c r="B22" s="690">
        <v>1200</v>
      </c>
    </row>
    <row r="23" spans="1:7" x14ac:dyDescent="0.25">
      <c r="A23" s="579">
        <v>6164</v>
      </c>
      <c r="B23" s="690">
        <v>1000</v>
      </c>
    </row>
    <row r="24" spans="1:7" x14ac:dyDescent="0.25">
      <c r="A24" s="579">
        <v>6167</v>
      </c>
      <c r="B24" s="690">
        <v>600</v>
      </c>
      <c r="D24" s="691">
        <f>SUM(B15:B24)</f>
        <v>312119.89500000002</v>
      </c>
      <c r="E24" s="692">
        <v>312120</v>
      </c>
      <c r="F24" s="691">
        <f>D24-E24</f>
        <v>-0.10499999998137355</v>
      </c>
      <c r="G24" s="691" t="s">
        <v>642</v>
      </c>
    </row>
    <row r="25" spans="1:7" x14ac:dyDescent="0.25">
      <c r="A25" s="579">
        <v>6211</v>
      </c>
      <c r="B25" s="690">
        <v>888</v>
      </c>
    </row>
    <row r="26" spans="1:7" x14ac:dyDescent="0.25">
      <c r="A26" s="579">
        <v>6214</v>
      </c>
      <c r="B26" s="690">
        <v>444</v>
      </c>
    </row>
    <row r="27" spans="1:7" x14ac:dyDescent="0.25">
      <c r="A27" s="579">
        <v>6217</v>
      </c>
      <c r="B27" s="690">
        <v>444</v>
      </c>
    </row>
    <row r="28" spans="1:7" x14ac:dyDescent="0.25">
      <c r="A28" s="579">
        <v>6227</v>
      </c>
      <c r="B28" s="690">
        <v>2450.2400000000002</v>
      </c>
    </row>
    <row r="29" spans="1:7" x14ac:dyDescent="0.25">
      <c r="A29" s="579">
        <v>6231</v>
      </c>
      <c r="B29" s="690">
        <v>16689.991162499999</v>
      </c>
    </row>
    <row r="30" spans="1:7" x14ac:dyDescent="0.25">
      <c r="A30" s="579">
        <v>6234</v>
      </c>
      <c r="B30" s="690">
        <v>28776.515625</v>
      </c>
    </row>
    <row r="31" spans="1:7" x14ac:dyDescent="0.25">
      <c r="A31" s="579">
        <v>6237</v>
      </c>
      <c r="B31" s="690">
        <v>7027.364700000001</v>
      </c>
    </row>
    <row r="32" spans="1:7" x14ac:dyDescent="0.25">
      <c r="A32" s="579">
        <v>6241</v>
      </c>
      <c r="B32" s="690">
        <v>1691.3171924999999</v>
      </c>
    </row>
    <row r="33" spans="1:7" x14ac:dyDescent="0.25">
      <c r="A33" s="579">
        <v>6244</v>
      </c>
      <c r="B33" s="690">
        <v>1541.005625</v>
      </c>
    </row>
    <row r="34" spans="1:7" x14ac:dyDescent="0.25">
      <c r="A34" s="579">
        <v>6247</v>
      </c>
      <c r="B34" s="690">
        <v>1293.4156600000003</v>
      </c>
    </row>
    <row r="35" spans="1:7" x14ac:dyDescent="0.25">
      <c r="A35" s="579">
        <v>6261</v>
      </c>
      <c r="B35" s="690">
        <v>936</v>
      </c>
    </row>
    <row r="36" spans="1:7" x14ac:dyDescent="0.25">
      <c r="A36" s="579">
        <v>6264</v>
      </c>
      <c r="B36" s="690">
        <v>468</v>
      </c>
    </row>
    <row r="37" spans="1:7" x14ac:dyDescent="0.25">
      <c r="A37" s="579">
        <v>6267</v>
      </c>
      <c r="B37" s="690">
        <v>1060.8</v>
      </c>
    </row>
    <row r="38" spans="1:7" x14ac:dyDescent="0.25">
      <c r="A38" s="579">
        <v>6271</v>
      </c>
      <c r="B38" s="690">
        <v>758.17667249999988</v>
      </c>
    </row>
    <row r="39" spans="1:7" x14ac:dyDescent="0.25">
      <c r="A39" s="579">
        <v>6274</v>
      </c>
      <c r="B39" s="690">
        <v>690.79562499999986</v>
      </c>
    </row>
    <row r="40" spans="1:7" x14ac:dyDescent="0.25">
      <c r="A40" s="579">
        <v>6277</v>
      </c>
      <c r="B40" s="690">
        <v>579.80701999999985</v>
      </c>
    </row>
    <row r="41" spans="1:7" x14ac:dyDescent="0.25">
      <c r="A41" s="579">
        <v>6281</v>
      </c>
      <c r="B41" s="690">
        <v>9720</v>
      </c>
    </row>
    <row r="42" spans="1:7" x14ac:dyDescent="0.25">
      <c r="A42" s="579">
        <v>6284</v>
      </c>
      <c r="B42" s="690">
        <v>4860</v>
      </c>
    </row>
    <row r="43" spans="1:7" x14ac:dyDescent="0.25">
      <c r="A43" s="579">
        <v>6287</v>
      </c>
      <c r="B43" s="690">
        <v>4860</v>
      </c>
      <c r="D43" s="691">
        <f>SUM(B25:B43)</f>
        <v>85179.429282499987</v>
      </c>
      <c r="E43" s="692">
        <v>85179</v>
      </c>
      <c r="F43" s="691">
        <f>D43-E43</f>
        <v>0.4292824999865843</v>
      </c>
      <c r="G43" s="691" t="s">
        <v>642</v>
      </c>
    </row>
    <row r="44" spans="1:7" x14ac:dyDescent="0.25">
      <c r="A44" s="579">
        <v>6300</v>
      </c>
      <c r="B44" s="690">
        <v>2310</v>
      </c>
    </row>
    <row r="45" spans="1:7" x14ac:dyDescent="0.25">
      <c r="A45" s="579">
        <v>6320</v>
      </c>
      <c r="B45" s="690">
        <v>2500</v>
      </c>
    </row>
    <row r="46" spans="1:7" x14ac:dyDescent="0.25">
      <c r="A46" s="579">
        <v>6331</v>
      </c>
      <c r="B46" s="690">
        <v>1000</v>
      </c>
    </row>
    <row r="47" spans="1:7" x14ac:dyDescent="0.25">
      <c r="A47" s="579">
        <v>6334</v>
      </c>
      <c r="B47" s="690">
        <v>750</v>
      </c>
    </row>
    <row r="48" spans="1:7" x14ac:dyDescent="0.25">
      <c r="A48" s="579">
        <v>6336</v>
      </c>
      <c r="B48" s="690">
        <v>0</v>
      </c>
    </row>
    <row r="49" spans="1:7" x14ac:dyDescent="0.25">
      <c r="A49" s="579">
        <v>6337</v>
      </c>
      <c r="B49" s="690">
        <v>500</v>
      </c>
    </row>
    <row r="50" spans="1:7" x14ac:dyDescent="0.25">
      <c r="A50" s="579">
        <v>6340</v>
      </c>
      <c r="B50" s="690">
        <v>29160</v>
      </c>
    </row>
    <row r="51" spans="1:7" x14ac:dyDescent="0.25">
      <c r="A51" s="579">
        <v>6350</v>
      </c>
      <c r="B51" s="690">
        <v>2000</v>
      </c>
      <c r="D51" s="691">
        <f>SUM(B44:B51)</f>
        <v>38220</v>
      </c>
      <c r="E51" s="692">
        <v>38220</v>
      </c>
      <c r="F51" s="691">
        <f>D51-E51</f>
        <v>0</v>
      </c>
      <c r="G51" s="691" t="s">
        <v>642</v>
      </c>
    </row>
    <row r="52" spans="1:7" x14ac:dyDescent="0.25">
      <c r="A52" s="579">
        <v>6410</v>
      </c>
      <c r="B52" s="690">
        <v>2400</v>
      </c>
    </row>
    <row r="53" spans="1:7" x14ac:dyDescent="0.25">
      <c r="A53" s="579">
        <v>6420</v>
      </c>
      <c r="B53" s="690">
        <v>11300</v>
      </c>
    </row>
    <row r="54" spans="1:7" x14ac:dyDescent="0.25">
      <c r="A54" s="579">
        <v>6430</v>
      </c>
      <c r="B54" s="690">
        <v>57305</v>
      </c>
    </row>
    <row r="55" spans="1:7" x14ac:dyDescent="0.25">
      <c r="A55" s="579">
        <v>6441</v>
      </c>
      <c r="B55" s="690">
        <v>113776.79999999997</v>
      </c>
      <c r="D55" s="691">
        <f>SUM(B52:B55)</f>
        <v>184781.8</v>
      </c>
      <c r="E55" s="692">
        <v>184782</v>
      </c>
      <c r="F55" s="691">
        <f>D55-E55</f>
        <v>-0.20000000001164153</v>
      </c>
      <c r="G55" s="691" t="s">
        <v>642</v>
      </c>
    </row>
    <row r="56" spans="1:7" x14ac:dyDescent="0.25">
      <c r="A56" s="579">
        <v>6519</v>
      </c>
      <c r="B56" s="690">
        <v>400</v>
      </c>
    </row>
    <row r="57" spans="1:7" x14ac:dyDescent="0.25">
      <c r="A57" s="579">
        <v>6521</v>
      </c>
      <c r="B57" s="690">
        <v>3800</v>
      </c>
    </row>
    <row r="58" spans="1:7" x14ac:dyDescent="0.25">
      <c r="A58" s="579">
        <v>6522</v>
      </c>
      <c r="B58" s="690">
        <v>0</v>
      </c>
    </row>
    <row r="59" spans="1:7" x14ac:dyDescent="0.25">
      <c r="A59" s="579">
        <v>6531</v>
      </c>
      <c r="B59" s="690">
        <v>1800</v>
      </c>
    </row>
    <row r="60" spans="1:7" x14ac:dyDescent="0.25">
      <c r="A60" s="579">
        <v>6535</v>
      </c>
      <c r="B60" s="690">
        <v>1740</v>
      </c>
    </row>
    <row r="61" spans="1:7" x14ac:dyDescent="0.25">
      <c r="A61" s="579">
        <v>6540</v>
      </c>
      <c r="B61" s="690">
        <v>2000</v>
      </c>
    </row>
    <row r="62" spans="1:7" x14ac:dyDescent="0.25">
      <c r="A62" s="579">
        <v>6569</v>
      </c>
      <c r="B62" s="690">
        <v>519500</v>
      </c>
      <c r="D62" s="691">
        <f>SUM(B56:B62)</f>
        <v>529240</v>
      </c>
      <c r="E62" s="692">
        <v>529240</v>
      </c>
      <c r="F62" s="691">
        <f>D62-E62</f>
        <v>0</v>
      </c>
      <c r="G62" s="691" t="s">
        <v>642</v>
      </c>
    </row>
    <row r="63" spans="1:7" x14ac:dyDescent="0.25">
      <c r="A63" s="579">
        <v>6610</v>
      </c>
      <c r="B63" s="690">
        <v>6384</v>
      </c>
    </row>
    <row r="64" spans="1:7" x14ac:dyDescent="0.25">
      <c r="A64" s="579">
        <v>6622</v>
      </c>
      <c r="B64" s="690">
        <v>9600</v>
      </c>
    </row>
    <row r="65" spans="1:7" x14ac:dyDescent="0.25">
      <c r="A65" s="579">
        <v>6641</v>
      </c>
      <c r="B65" s="690">
        <v>48050</v>
      </c>
    </row>
    <row r="66" spans="1:7" x14ac:dyDescent="0.25">
      <c r="A66" s="579">
        <v>6642</v>
      </c>
      <c r="B66" s="690">
        <v>63450</v>
      </c>
    </row>
    <row r="67" spans="1:7" x14ac:dyDescent="0.25">
      <c r="A67" s="579">
        <v>6651</v>
      </c>
      <c r="B67" s="690">
        <v>0</v>
      </c>
      <c r="D67" s="691">
        <f>SUM(B63:B67)</f>
        <v>127484</v>
      </c>
      <c r="E67" s="692">
        <v>127484</v>
      </c>
      <c r="F67" s="691">
        <f>D67-E67</f>
        <v>0</v>
      </c>
      <c r="G67" s="691" t="s">
        <v>642</v>
      </c>
    </row>
    <row r="68" spans="1:7" x14ac:dyDescent="0.25">
      <c r="A68" s="579">
        <v>6810</v>
      </c>
      <c r="B68" s="690">
        <v>2137</v>
      </c>
      <c r="D68" s="691">
        <f>GETPIVOTDATA("Amount",$A$3,"Object",6810)</f>
        <v>2137</v>
      </c>
      <c r="E68" s="692">
        <v>2137</v>
      </c>
      <c r="F68" s="691">
        <f>D68-E68</f>
        <v>0</v>
      </c>
      <c r="G68" s="691" t="s">
        <v>642</v>
      </c>
    </row>
    <row r="69" spans="1:7" x14ac:dyDescent="0.25">
      <c r="A69" s="579" t="s">
        <v>636</v>
      </c>
      <c r="B69" s="690">
        <v>0</v>
      </c>
    </row>
    <row r="70" spans="1:7" x14ac:dyDescent="0.25">
      <c r="A70" s="579" t="s">
        <v>637</v>
      </c>
      <c r="B70" s="690">
        <v>2640341.5882824999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N96"/>
  <sheetViews>
    <sheetView topLeftCell="A49" workbookViewId="0"/>
  </sheetViews>
  <sheetFormatPr defaultColWidth="13.42578125" defaultRowHeight="11.25" x14ac:dyDescent="0.2"/>
  <cols>
    <col min="1" max="1" width="10.28515625" style="274" bestFit="1" customWidth="1"/>
    <col min="2" max="2" width="16.7109375" style="274" bestFit="1" customWidth="1"/>
    <col min="3" max="3" width="17.5703125" style="274" bestFit="1" customWidth="1"/>
    <col min="4" max="4" width="22.85546875" style="274" bestFit="1" customWidth="1"/>
    <col min="5" max="5" width="26" style="274" customWidth="1"/>
    <col min="6" max="6" width="8" style="274" bestFit="1" customWidth="1"/>
    <col min="7" max="7" width="10" style="688" bestFit="1" customWidth="1"/>
    <col min="8" max="8" width="18.140625" style="273" bestFit="1" customWidth="1"/>
    <col min="9" max="9" width="10.5703125" style="273" bestFit="1" customWidth="1"/>
    <col min="10" max="14" width="13.42578125" style="278"/>
    <col min="15" max="257" width="13.42578125" style="273"/>
    <col min="258" max="258" width="10.28515625" style="273" bestFit="1" customWidth="1"/>
    <col min="259" max="259" width="16.7109375" style="273" bestFit="1" customWidth="1"/>
    <col min="260" max="260" width="17.5703125" style="273" bestFit="1" customWidth="1"/>
    <col min="261" max="261" width="12" style="273" bestFit="1" customWidth="1"/>
    <col min="262" max="262" width="26" style="273" customWidth="1"/>
    <col min="263" max="263" width="8" style="273" bestFit="1" customWidth="1"/>
    <col min="264" max="264" width="18.140625" style="273" bestFit="1" customWidth="1"/>
    <col min="265" max="265" width="10.5703125" style="273" bestFit="1" customWidth="1"/>
    <col min="266" max="513" width="13.42578125" style="273"/>
    <col min="514" max="514" width="10.28515625" style="273" bestFit="1" customWidth="1"/>
    <col min="515" max="515" width="16.7109375" style="273" bestFit="1" customWidth="1"/>
    <col min="516" max="516" width="17.5703125" style="273" bestFit="1" customWidth="1"/>
    <col min="517" max="517" width="12" style="273" bestFit="1" customWidth="1"/>
    <col min="518" max="518" width="26" style="273" customWidth="1"/>
    <col min="519" max="519" width="8" style="273" bestFit="1" customWidth="1"/>
    <col min="520" max="520" width="18.140625" style="273" bestFit="1" customWidth="1"/>
    <col min="521" max="521" width="10.5703125" style="273" bestFit="1" customWidth="1"/>
    <col min="522" max="769" width="13.42578125" style="273"/>
    <col min="770" max="770" width="10.28515625" style="273" bestFit="1" customWidth="1"/>
    <col min="771" max="771" width="16.7109375" style="273" bestFit="1" customWidth="1"/>
    <col min="772" max="772" width="17.5703125" style="273" bestFit="1" customWidth="1"/>
    <col min="773" max="773" width="12" style="273" bestFit="1" customWidth="1"/>
    <col min="774" max="774" width="26" style="273" customWidth="1"/>
    <col min="775" max="775" width="8" style="273" bestFit="1" customWidth="1"/>
    <col min="776" max="776" width="18.140625" style="273" bestFit="1" customWidth="1"/>
    <col min="777" max="777" width="10.5703125" style="273" bestFit="1" customWidth="1"/>
    <col min="778" max="1025" width="13.42578125" style="273"/>
    <col min="1026" max="1026" width="10.28515625" style="273" bestFit="1" customWidth="1"/>
    <col min="1027" max="1027" width="16.7109375" style="273" bestFit="1" customWidth="1"/>
    <col min="1028" max="1028" width="17.5703125" style="273" bestFit="1" customWidth="1"/>
    <col min="1029" max="1029" width="12" style="273" bestFit="1" customWidth="1"/>
    <col min="1030" max="1030" width="26" style="273" customWidth="1"/>
    <col min="1031" max="1031" width="8" style="273" bestFit="1" customWidth="1"/>
    <col min="1032" max="1032" width="18.140625" style="273" bestFit="1" customWidth="1"/>
    <col min="1033" max="1033" width="10.5703125" style="273" bestFit="1" customWidth="1"/>
    <col min="1034" max="1281" width="13.42578125" style="273"/>
    <col min="1282" max="1282" width="10.28515625" style="273" bestFit="1" customWidth="1"/>
    <col min="1283" max="1283" width="16.7109375" style="273" bestFit="1" customWidth="1"/>
    <col min="1284" max="1284" width="17.5703125" style="273" bestFit="1" customWidth="1"/>
    <col min="1285" max="1285" width="12" style="273" bestFit="1" customWidth="1"/>
    <col min="1286" max="1286" width="26" style="273" customWidth="1"/>
    <col min="1287" max="1287" width="8" style="273" bestFit="1" customWidth="1"/>
    <col min="1288" max="1288" width="18.140625" style="273" bestFit="1" customWidth="1"/>
    <col min="1289" max="1289" width="10.5703125" style="273" bestFit="1" customWidth="1"/>
    <col min="1290" max="1537" width="13.42578125" style="273"/>
    <col min="1538" max="1538" width="10.28515625" style="273" bestFit="1" customWidth="1"/>
    <col min="1539" max="1539" width="16.7109375" style="273" bestFit="1" customWidth="1"/>
    <col min="1540" max="1540" width="17.5703125" style="273" bestFit="1" customWidth="1"/>
    <col min="1541" max="1541" width="12" style="273" bestFit="1" customWidth="1"/>
    <col min="1542" max="1542" width="26" style="273" customWidth="1"/>
    <col min="1543" max="1543" width="8" style="273" bestFit="1" customWidth="1"/>
    <col min="1544" max="1544" width="18.140625" style="273" bestFit="1" customWidth="1"/>
    <col min="1545" max="1545" width="10.5703125" style="273" bestFit="1" customWidth="1"/>
    <col min="1546" max="1793" width="13.42578125" style="273"/>
    <col min="1794" max="1794" width="10.28515625" style="273" bestFit="1" customWidth="1"/>
    <col min="1795" max="1795" width="16.7109375" style="273" bestFit="1" customWidth="1"/>
    <col min="1796" max="1796" width="17.5703125" style="273" bestFit="1" customWidth="1"/>
    <col min="1797" max="1797" width="12" style="273" bestFit="1" customWidth="1"/>
    <col min="1798" max="1798" width="26" style="273" customWidth="1"/>
    <col min="1799" max="1799" width="8" style="273" bestFit="1" customWidth="1"/>
    <col min="1800" max="1800" width="18.140625" style="273" bestFit="1" customWidth="1"/>
    <col min="1801" max="1801" width="10.5703125" style="273" bestFit="1" customWidth="1"/>
    <col min="1802" max="2049" width="13.42578125" style="273"/>
    <col min="2050" max="2050" width="10.28515625" style="273" bestFit="1" customWidth="1"/>
    <col min="2051" max="2051" width="16.7109375" style="273" bestFit="1" customWidth="1"/>
    <col min="2052" max="2052" width="17.5703125" style="273" bestFit="1" customWidth="1"/>
    <col min="2053" max="2053" width="12" style="273" bestFit="1" customWidth="1"/>
    <col min="2054" max="2054" width="26" style="273" customWidth="1"/>
    <col min="2055" max="2055" width="8" style="273" bestFit="1" customWidth="1"/>
    <col min="2056" max="2056" width="18.140625" style="273" bestFit="1" customWidth="1"/>
    <col min="2057" max="2057" width="10.5703125" style="273" bestFit="1" customWidth="1"/>
    <col min="2058" max="2305" width="13.42578125" style="273"/>
    <col min="2306" max="2306" width="10.28515625" style="273" bestFit="1" customWidth="1"/>
    <col min="2307" max="2307" width="16.7109375" style="273" bestFit="1" customWidth="1"/>
    <col min="2308" max="2308" width="17.5703125" style="273" bestFit="1" customWidth="1"/>
    <col min="2309" max="2309" width="12" style="273" bestFit="1" customWidth="1"/>
    <col min="2310" max="2310" width="26" style="273" customWidth="1"/>
    <col min="2311" max="2311" width="8" style="273" bestFit="1" customWidth="1"/>
    <col min="2312" max="2312" width="18.140625" style="273" bestFit="1" customWidth="1"/>
    <col min="2313" max="2313" width="10.5703125" style="273" bestFit="1" customWidth="1"/>
    <col min="2314" max="2561" width="13.42578125" style="273"/>
    <col min="2562" max="2562" width="10.28515625" style="273" bestFit="1" customWidth="1"/>
    <col min="2563" max="2563" width="16.7109375" style="273" bestFit="1" customWidth="1"/>
    <col min="2564" max="2564" width="17.5703125" style="273" bestFit="1" customWidth="1"/>
    <col min="2565" max="2565" width="12" style="273" bestFit="1" customWidth="1"/>
    <col min="2566" max="2566" width="26" style="273" customWidth="1"/>
    <col min="2567" max="2567" width="8" style="273" bestFit="1" customWidth="1"/>
    <col min="2568" max="2568" width="18.140625" style="273" bestFit="1" customWidth="1"/>
    <col min="2569" max="2569" width="10.5703125" style="273" bestFit="1" customWidth="1"/>
    <col min="2570" max="2817" width="13.42578125" style="273"/>
    <col min="2818" max="2818" width="10.28515625" style="273" bestFit="1" customWidth="1"/>
    <col min="2819" max="2819" width="16.7109375" style="273" bestFit="1" customWidth="1"/>
    <col min="2820" max="2820" width="17.5703125" style="273" bestFit="1" customWidth="1"/>
    <col min="2821" max="2821" width="12" style="273" bestFit="1" customWidth="1"/>
    <col min="2822" max="2822" width="26" style="273" customWidth="1"/>
    <col min="2823" max="2823" width="8" style="273" bestFit="1" customWidth="1"/>
    <col min="2824" max="2824" width="18.140625" style="273" bestFit="1" customWidth="1"/>
    <col min="2825" max="2825" width="10.5703125" style="273" bestFit="1" customWidth="1"/>
    <col min="2826" max="3073" width="13.42578125" style="273"/>
    <col min="3074" max="3074" width="10.28515625" style="273" bestFit="1" customWidth="1"/>
    <col min="3075" max="3075" width="16.7109375" style="273" bestFit="1" customWidth="1"/>
    <col min="3076" max="3076" width="17.5703125" style="273" bestFit="1" customWidth="1"/>
    <col min="3077" max="3077" width="12" style="273" bestFit="1" customWidth="1"/>
    <col min="3078" max="3078" width="26" style="273" customWidth="1"/>
    <col min="3079" max="3079" width="8" style="273" bestFit="1" customWidth="1"/>
    <col min="3080" max="3080" width="18.140625" style="273" bestFit="1" customWidth="1"/>
    <col min="3081" max="3081" width="10.5703125" style="273" bestFit="1" customWidth="1"/>
    <col min="3082" max="3329" width="13.42578125" style="273"/>
    <col min="3330" max="3330" width="10.28515625" style="273" bestFit="1" customWidth="1"/>
    <col min="3331" max="3331" width="16.7109375" style="273" bestFit="1" customWidth="1"/>
    <col min="3332" max="3332" width="17.5703125" style="273" bestFit="1" customWidth="1"/>
    <col min="3333" max="3333" width="12" style="273" bestFit="1" customWidth="1"/>
    <col min="3334" max="3334" width="26" style="273" customWidth="1"/>
    <col min="3335" max="3335" width="8" style="273" bestFit="1" customWidth="1"/>
    <col min="3336" max="3336" width="18.140625" style="273" bestFit="1" customWidth="1"/>
    <col min="3337" max="3337" width="10.5703125" style="273" bestFit="1" customWidth="1"/>
    <col min="3338" max="3585" width="13.42578125" style="273"/>
    <col min="3586" max="3586" width="10.28515625" style="273" bestFit="1" customWidth="1"/>
    <col min="3587" max="3587" width="16.7109375" style="273" bestFit="1" customWidth="1"/>
    <col min="3588" max="3588" width="17.5703125" style="273" bestFit="1" customWidth="1"/>
    <col min="3589" max="3589" width="12" style="273" bestFit="1" customWidth="1"/>
    <col min="3590" max="3590" width="26" style="273" customWidth="1"/>
    <col min="3591" max="3591" width="8" style="273" bestFit="1" customWidth="1"/>
    <col min="3592" max="3592" width="18.140625" style="273" bestFit="1" customWidth="1"/>
    <col min="3593" max="3593" width="10.5703125" style="273" bestFit="1" customWidth="1"/>
    <col min="3594" max="3841" width="13.42578125" style="273"/>
    <col min="3842" max="3842" width="10.28515625" style="273" bestFit="1" customWidth="1"/>
    <col min="3843" max="3843" width="16.7109375" style="273" bestFit="1" customWidth="1"/>
    <col min="3844" max="3844" width="17.5703125" style="273" bestFit="1" customWidth="1"/>
    <col min="3845" max="3845" width="12" style="273" bestFit="1" customWidth="1"/>
    <col min="3846" max="3846" width="26" style="273" customWidth="1"/>
    <col min="3847" max="3847" width="8" style="273" bestFit="1" customWidth="1"/>
    <col min="3848" max="3848" width="18.140625" style="273" bestFit="1" customWidth="1"/>
    <col min="3849" max="3849" width="10.5703125" style="273" bestFit="1" customWidth="1"/>
    <col min="3850" max="4097" width="13.42578125" style="273"/>
    <col min="4098" max="4098" width="10.28515625" style="273" bestFit="1" customWidth="1"/>
    <col min="4099" max="4099" width="16.7109375" style="273" bestFit="1" customWidth="1"/>
    <col min="4100" max="4100" width="17.5703125" style="273" bestFit="1" customWidth="1"/>
    <col min="4101" max="4101" width="12" style="273" bestFit="1" customWidth="1"/>
    <col min="4102" max="4102" width="26" style="273" customWidth="1"/>
    <col min="4103" max="4103" width="8" style="273" bestFit="1" customWidth="1"/>
    <col min="4104" max="4104" width="18.140625" style="273" bestFit="1" customWidth="1"/>
    <col min="4105" max="4105" width="10.5703125" style="273" bestFit="1" customWidth="1"/>
    <col min="4106" max="4353" width="13.42578125" style="273"/>
    <col min="4354" max="4354" width="10.28515625" style="273" bestFit="1" customWidth="1"/>
    <col min="4355" max="4355" width="16.7109375" style="273" bestFit="1" customWidth="1"/>
    <col min="4356" max="4356" width="17.5703125" style="273" bestFit="1" customWidth="1"/>
    <col min="4357" max="4357" width="12" style="273" bestFit="1" customWidth="1"/>
    <col min="4358" max="4358" width="26" style="273" customWidth="1"/>
    <col min="4359" max="4359" width="8" style="273" bestFit="1" customWidth="1"/>
    <col min="4360" max="4360" width="18.140625" style="273" bestFit="1" customWidth="1"/>
    <col min="4361" max="4361" width="10.5703125" style="273" bestFit="1" customWidth="1"/>
    <col min="4362" max="4609" width="13.42578125" style="273"/>
    <col min="4610" max="4610" width="10.28515625" style="273" bestFit="1" customWidth="1"/>
    <col min="4611" max="4611" width="16.7109375" style="273" bestFit="1" customWidth="1"/>
    <col min="4612" max="4612" width="17.5703125" style="273" bestFit="1" customWidth="1"/>
    <col min="4613" max="4613" width="12" style="273" bestFit="1" customWidth="1"/>
    <col min="4614" max="4614" width="26" style="273" customWidth="1"/>
    <col min="4615" max="4615" width="8" style="273" bestFit="1" customWidth="1"/>
    <col min="4616" max="4616" width="18.140625" style="273" bestFit="1" customWidth="1"/>
    <col min="4617" max="4617" width="10.5703125" style="273" bestFit="1" customWidth="1"/>
    <col min="4618" max="4865" width="13.42578125" style="273"/>
    <col min="4866" max="4866" width="10.28515625" style="273" bestFit="1" customWidth="1"/>
    <col min="4867" max="4867" width="16.7109375" style="273" bestFit="1" customWidth="1"/>
    <col min="4868" max="4868" width="17.5703125" style="273" bestFit="1" customWidth="1"/>
    <col min="4869" max="4869" width="12" style="273" bestFit="1" customWidth="1"/>
    <col min="4870" max="4870" width="26" style="273" customWidth="1"/>
    <col min="4871" max="4871" width="8" style="273" bestFit="1" customWidth="1"/>
    <col min="4872" max="4872" width="18.140625" style="273" bestFit="1" customWidth="1"/>
    <col min="4873" max="4873" width="10.5703125" style="273" bestFit="1" customWidth="1"/>
    <col min="4874" max="5121" width="13.42578125" style="273"/>
    <col min="5122" max="5122" width="10.28515625" style="273" bestFit="1" customWidth="1"/>
    <col min="5123" max="5123" width="16.7109375" style="273" bestFit="1" customWidth="1"/>
    <col min="5124" max="5124" width="17.5703125" style="273" bestFit="1" customWidth="1"/>
    <col min="5125" max="5125" width="12" style="273" bestFit="1" customWidth="1"/>
    <col min="5126" max="5126" width="26" style="273" customWidth="1"/>
    <col min="5127" max="5127" width="8" style="273" bestFit="1" customWidth="1"/>
    <col min="5128" max="5128" width="18.140625" style="273" bestFit="1" customWidth="1"/>
    <col min="5129" max="5129" width="10.5703125" style="273" bestFit="1" customWidth="1"/>
    <col min="5130" max="5377" width="13.42578125" style="273"/>
    <col min="5378" max="5378" width="10.28515625" style="273" bestFit="1" customWidth="1"/>
    <col min="5379" max="5379" width="16.7109375" style="273" bestFit="1" customWidth="1"/>
    <col min="5380" max="5380" width="17.5703125" style="273" bestFit="1" customWidth="1"/>
    <col min="5381" max="5381" width="12" style="273" bestFit="1" customWidth="1"/>
    <col min="5382" max="5382" width="26" style="273" customWidth="1"/>
    <col min="5383" max="5383" width="8" style="273" bestFit="1" customWidth="1"/>
    <col min="5384" max="5384" width="18.140625" style="273" bestFit="1" customWidth="1"/>
    <col min="5385" max="5385" width="10.5703125" style="273" bestFit="1" customWidth="1"/>
    <col min="5386" max="5633" width="13.42578125" style="273"/>
    <col min="5634" max="5634" width="10.28515625" style="273" bestFit="1" customWidth="1"/>
    <col min="5635" max="5635" width="16.7109375" style="273" bestFit="1" customWidth="1"/>
    <col min="5636" max="5636" width="17.5703125" style="273" bestFit="1" customWidth="1"/>
    <col min="5637" max="5637" width="12" style="273" bestFit="1" customWidth="1"/>
    <col min="5638" max="5638" width="26" style="273" customWidth="1"/>
    <col min="5639" max="5639" width="8" style="273" bestFit="1" customWidth="1"/>
    <col min="5640" max="5640" width="18.140625" style="273" bestFit="1" customWidth="1"/>
    <col min="5641" max="5641" width="10.5703125" style="273" bestFit="1" customWidth="1"/>
    <col min="5642" max="5889" width="13.42578125" style="273"/>
    <col min="5890" max="5890" width="10.28515625" style="273" bestFit="1" customWidth="1"/>
    <col min="5891" max="5891" width="16.7109375" style="273" bestFit="1" customWidth="1"/>
    <col min="5892" max="5892" width="17.5703125" style="273" bestFit="1" customWidth="1"/>
    <col min="5893" max="5893" width="12" style="273" bestFit="1" customWidth="1"/>
    <col min="5894" max="5894" width="26" style="273" customWidth="1"/>
    <col min="5895" max="5895" width="8" style="273" bestFit="1" customWidth="1"/>
    <col min="5896" max="5896" width="18.140625" style="273" bestFit="1" customWidth="1"/>
    <col min="5897" max="5897" width="10.5703125" style="273" bestFit="1" customWidth="1"/>
    <col min="5898" max="6145" width="13.42578125" style="273"/>
    <col min="6146" max="6146" width="10.28515625" style="273" bestFit="1" customWidth="1"/>
    <col min="6147" max="6147" width="16.7109375" style="273" bestFit="1" customWidth="1"/>
    <col min="6148" max="6148" width="17.5703125" style="273" bestFit="1" customWidth="1"/>
    <col min="6149" max="6149" width="12" style="273" bestFit="1" customWidth="1"/>
    <col min="6150" max="6150" width="26" style="273" customWidth="1"/>
    <col min="6151" max="6151" width="8" style="273" bestFit="1" customWidth="1"/>
    <col min="6152" max="6152" width="18.140625" style="273" bestFit="1" customWidth="1"/>
    <col min="6153" max="6153" width="10.5703125" style="273" bestFit="1" customWidth="1"/>
    <col min="6154" max="6401" width="13.42578125" style="273"/>
    <col min="6402" max="6402" width="10.28515625" style="273" bestFit="1" customWidth="1"/>
    <col min="6403" max="6403" width="16.7109375" style="273" bestFit="1" customWidth="1"/>
    <col min="6404" max="6404" width="17.5703125" style="273" bestFit="1" customWidth="1"/>
    <col min="6405" max="6405" width="12" style="273" bestFit="1" customWidth="1"/>
    <col min="6406" max="6406" width="26" style="273" customWidth="1"/>
    <col min="6407" max="6407" width="8" style="273" bestFit="1" customWidth="1"/>
    <col min="6408" max="6408" width="18.140625" style="273" bestFit="1" customWidth="1"/>
    <col min="6409" max="6409" width="10.5703125" style="273" bestFit="1" customWidth="1"/>
    <col min="6410" max="6657" width="13.42578125" style="273"/>
    <col min="6658" max="6658" width="10.28515625" style="273" bestFit="1" customWidth="1"/>
    <col min="6659" max="6659" width="16.7109375" style="273" bestFit="1" customWidth="1"/>
    <col min="6660" max="6660" width="17.5703125" style="273" bestFit="1" customWidth="1"/>
    <col min="6661" max="6661" width="12" style="273" bestFit="1" customWidth="1"/>
    <col min="6662" max="6662" width="26" style="273" customWidth="1"/>
    <col min="6663" max="6663" width="8" style="273" bestFit="1" customWidth="1"/>
    <col min="6664" max="6664" width="18.140625" style="273" bestFit="1" customWidth="1"/>
    <col min="6665" max="6665" width="10.5703125" style="273" bestFit="1" customWidth="1"/>
    <col min="6666" max="6913" width="13.42578125" style="273"/>
    <col min="6914" max="6914" width="10.28515625" style="273" bestFit="1" customWidth="1"/>
    <col min="6915" max="6915" width="16.7109375" style="273" bestFit="1" customWidth="1"/>
    <col min="6916" max="6916" width="17.5703125" style="273" bestFit="1" customWidth="1"/>
    <col min="6917" max="6917" width="12" style="273" bestFit="1" customWidth="1"/>
    <col min="6918" max="6918" width="26" style="273" customWidth="1"/>
    <col min="6919" max="6919" width="8" style="273" bestFit="1" customWidth="1"/>
    <col min="6920" max="6920" width="18.140625" style="273" bestFit="1" customWidth="1"/>
    <col min="6921" max="6921" width="10.5703125" style="273" bestFit="1" customWidth="1"/>
    <col min="6922" max="7169" width="13.42578125" style="273"/>
    <col min="7170" max="7170" width="10.28515625" style="273" bestFit="1" customWidth="1"/>
    <col min="7171" max="7171" width="16.7109375" style="273" bestFit="1" customWidth="1"/>
    <col min="7172" max="7172" width="17.5703125" style="273" bestFit="1" customWidth="1"/>
    <col min="7173" max="7173" width="12" style="273" bestFit="1" customWidth="1"/>
    <col min="7174" max="7174" width="26" style="273" customWidth="1"/>
    <col min="7175" max="7175" width="8" style="273" bestFit="1" customWidth="1"/>
    <col min="7176" max="7176" width="18.140625" style="273" bestFit="1" customWidth="1"/>
    <col min="7177" max="7177" width="10.5703125" style="273" bestFit="1" customWidth="1"/>
    <col min="7178" max="7425" width="13.42578125" style="273"/>
    <col min="7426" max="7426" width="10.28515625" style="273" bestFit="1" customWidth="1"/>
    <col min="7427" max="7427" width="16.7109375" style="273" bestFit="1" customWidth="1"/>
    <col min="7428" max="7428" width="17.5703125" style="273" bestFit="1" customWidth="1"/>
    <col min="7429" max="7429" width="12" style="273" bestFit="1" customWidth="1"/>
    <col min="7430" max="7430" width="26" style="273" customWidth="1"/>
    <col min="7431" max="7431" width="8" style="273" bestFit="1" customWidth="1"/>
    <col min="7432" max="7432" width="18.140625" style="273" bestFit="1" customWidth="1"/>
    <col min="7433" max="7433" width="10.5703125" style="273" bestFit="1" customWidth="1"/>
    <col min="7434" max="7681" width="13.42578125" style="273"/>
    <col min="7682" max="7682" width="10.28515625" style="273" bestFit="1" customWidth="1"/>
    <col min="7683" max="7683" width="16.7109375" style="273" bestFit="1" customWidth="1"/>
    <col min="7684" max="7684" width="17.5703125" style="273" bestFit="1" customWidth="1"/>
    <col min="7685" max="7685" width="12" style="273" bestFit="1" customWidth="1"/>
    <col min="7686" max="7686" width="26" style="273" customWidth="1"/>
    <col min="7687" max="7687" width="8" style="273" bestFit="1" customWidth="1"/>
    <col min="7688" max="7688" width="18.140625" style="273" bestFit="1" customWidth="1"/>
    <col min="7689" max="7689" width="10.5703125" style="273" bestFit="1" customWidth="1"/>
    <col min="7690" max="7937" width="13.42578125" style="273"/>
    <col min="7938" max="7938" width="10.28515625" style="273" bestFit="1" customWidth="1"/>
    <col min="7939" max="7939" width="16.7109375" style="273" bestFit="1" customWidth="1"/>
    <col min="7940" max="7940" width="17.5703125" style="273" bestFit="1" customWidth="1"/>
    <col min="7941" max="7941" width="12" style="273" bestFit="1" customWidth="1"/>
    <col min="7942" max="7942" width="26" style="273" customWidth="1"/>
    <col min="7943" max="7943" width="8" style="273" bestFit="1" customWidth="1"/>
    <col min="7944" max="7944" width="18.140625" style="273" bestFit="1" customWidth="1"/>
    <col min="7945" max="7945" width="10.5703125" style="273" bestFit="1" customWidth="1"/>
    <col min="7946" max="8193" width="13.42578125" style="273"/>
    <col min="8194" max="8194" width="10.28515625" style="273" bestFit="1" customWidth="1"/>
    <col min="8195" max="8195" width="16.7109375" style="273" bestFit="1" customWidth="1"/>
    <col min="8196" max="8196" width="17.5703125" style="273" bestFit="1" customWidth="1"/>
    <col min="8197" max="8197" width="12" style="273" bestFit="1" customWidth="1"/>
    <col min="8198" max="8198" width="26" style="273" customWidth="1"/>
    <col min="8199" max="8199" width="8" style="273" bestFit="1" customWidth="1"/>
    <col min="8200" max="8200" width="18.140625" style="273" bestFit="1" customWidth="1"/>
    <col min="8201" max="8201" width="10.5703125" style="273" bestFit="1" customWidth="1"/>
    <col min="8202" max="8449" width="13.42578125" style="273"/>
    <col min="8450" max="8450" width="10.28515625" style="273" bestFit="1" customWidth="1"/>
    <col min="8451" max="8451" width="16.7109375" style="273" bestFit="1" customWidth="1"/>
    <col min="8452" max="8452" width="17.5703125" style="273" bestFit="1" customWidth="1"/>
    <col min="8453" max="8453" width="12" style="273" bestFit="1" customWidth="1"/>
    <col min="8454" max="8454" width="26" style="273" customWidth="1"/>
    <col min="8455" max="8455" width="8" style="273" bestFit="1" customWidth="1"/>
    <col min="8456" max="8456" width="18.140625" style="273" bestFit="1" customWidth="1"/>
    <col min="8457" max="8457" width="10.5703125" style="273" bestFit="1" customWidth="1"/>
    <col min="8458" max="8705" width="13.42578125" style="273"/>
    <col min="8706" max="8706" width="10.28515625" style="273" bestFit="1" customWidth="1"/>
    <col min="8707" max="8707" width="16.7109375" style="273" bestFit="1" customWidth="1"/>
    <col min="8708" max="8708" width="17.5703125" style="273" bestFit="1" customWidth="1"/>
    <col min="8709" max="8709" width="12" style="273" bestFit="1" customWidth="1"/>
    <col min="8710" max="8710" width="26" style="273" customWidth="1"/>
    <col min="8711" max="8711" width="8" style="273" bestFit="1" customWidth="1"/>
    <col min="8712" max="8712" width="18.140625" style="273" bestFit="1" customWidth="1"/>
    <col min="8713" max="8713" width="10.5703125" style="273" bestFit="1" customWidth="1"/>
    <col min="8714" max="8961" width="13.42578125" style="273"/>
    <col min="8962" max="8962" width="10.28515625" style="273" bestFit="1" customWidth="1"/>
    <col min="8963" max="8963" width="16.7109375" style="273" bestFit="1" customWidth="1"/>
    <col min="8964" max="8964" width="17.5703125" style="273" bestFit="1" customWidth="1"/>
    <col min="8965" max="8965" width="12" style="273" bestFit="1" customWidth="1"/>
    <col min="8966" max="8966" width="26" style="273" customWidth="1"/>
    <col min="8967" max="8967" width="8" style="273" bestFit="1" customWidth="1"/>
    <col min="8968" max="8968" width="18.140625" style="273" bestFit="1" customWidth="1"/>
    <col min="8969" max="8969" width="10.5703125" style="273" bestFit="1" customWidth="1"/>
    <col min="8970" max="9217" width="13.42578125" style="273"/>
    <col min="9218" max="9218" width="10.28515625" style="273" bestFit="1" customWidth="1"/>
    <col min="9219" max="9219" width="16.7109375" style="273" bestFit="1" customWidth="1"/>
    <col min="9220" max="9220" width="17.5703125" style="273" bestFit="1" customWidth="1"/>
    <col min="9221" max="9221" width="12" style="273" bestFit="1" customWidth="1"/>
    <col min="9222" max="9222" width="26" style="273" customWidth="1"/>
    <col min="9223" max="9223" width="8" style="273" bestFit="1" customWidth="1"/>
    <col min="9224" max="9224" width="18.140625" style="273" bestFit="1" customWidth="1"/>
    <col min="9225" max="9225" width="10.5703125" style="273" bestFit="1" customWidth="1"/>
    <col min="9226" max="9473" width="13.42578125" style="273"/>
    <col min="9474" max="9474" width="10.28515625" style="273" bestFit="1" customWidth="1"/>
    <col min="9475" max="9475" width="16.7109375" style="273" bestFit="1" customWidth="1"/>
    <col min="9476" max="9476" width="17.5703125" style="273" bestFit="1" customWidth="1"/>
    <col min="9477" max="9477" width="12" style="273" bestFit="1" customWidth="1"/>
    <col min="9478" max="9478" width="26" style="273" customWidth="1"/>
    <col min="9479" max="9479" width="8" style="273" bestFit="1" customWidth="1"/>
    <col min="9480" max="9480" width="18.140625" style="273" bestFit="1" customWidth="1"/>
    <col min="9481" max="9481" width="10.5703125" style="273" bestFit="1" customWidth="1"/>
    <col min="9482" max="9729" width="13.42578125" style="273"/>
    <col min="9730" max="9730" width="10.28515625" style="273" bestFit="1" customWidth="1"/>
    <col min="9731" max="9731" width="16.7109375" style="273" bestFit="1" customWidth="1"/>
    <col min="9732" max="9732" width="17.5703125" style="273" bestFit="1" customWidth="1"/>
    <col min="9733" max="9733" width="12" style="273" bestFit="1" customWidth="1"/>
    <col min="9734" max="9734" width="26" style="273" customWidth="1"/>
    <col min="9735" max="9735" width="8" style="273" bestFit="1" customWidth="1"/>
    <col min="9736" max="9736" width="18.140625" style="273" bestFit="1" customWidth="1"/>
    <col min="9737" max="9737" width="10.5703125" style="273" bestFit="1" customWidth="1"/>
    <col min="9738" max="9985" width="13.42578125" style="273"/>
    <col min="9986" max="9986" width="10.28515625" style="273" bestFit="1" customWidth="1"/>
    <col min="9987" max="9987" width="16.7109375" style="273" bestFit="1" customWidth="1"/>
    <col min="9988" max="9988" width="17.5703125" style="273" bestFit="1" customWidth="1"/>
    <col min="9989" max="9989" width="12" style="273" bestFit="1" customWidth="1"/>
    <col min="9990" max="9990" width="26" style="273" customWidth="1"/>
    <col min="9991" max="9991" width="8" style="273" bestFit="1" customWidth="1"/>
    <col min="9992" max="9992" width="18.140625" style="273" bestFit="1" customWidth="1"/>
    <col min="9993" max="9993" width="10.5703125" style="273" bestFit="1" customWidth="1"/>
    <col min="9994" max="10241" width="13.42578125" style="273"/>
    <col min="10242" max="10242" width="10.28515625" style="273" bestFit="1" customWidth="1"/>
    <col min="10243" max="10243" width="16.7109375" style="273" bestFit="1" customWidth="1"/>
    <col min="10244" max="10244" width="17.5703125" style="273" bestFit="1" customWidth="1"/>
    <col min="10245" max="10245" width="12" style="273" bestFit="1" customWidth="1"/>
    <col min="10246" max="10246" width="26" style="273" customWidth="1"/>
    <col min="10247" max="10247" width="8" style="273" bestFit="1" customWidth="1"/>
    <col min="10248" max="10248" width="18.140625" style="273" bestFit="1" customWidth="1"/>
    <col min="10249" max="10249" width="10.5703125" style="273" bestFit="1" customWidth="1"/>
    <col min="10250" max="10497" width="13.42578125" style="273"/>
    <col min="10498" max="10498" width="10.28515625" style="273" bestFit="1" customWidth="1"/>
    <col min="10499" max="10499" width="16.7109375" style="273" bestFit="1" customWidth="1"/>
    <col min="10500" max="10500" width="17.5703125" style="273" bestFit="1" customWidth="1"/>
    <col min="10501" max="10501" width="12" style="273" bestFit="1" customWidth="1"/>
    <col min="10502" max="10502" width="26" style="273" customWidth="1"/>
    <col min="10503" max="10503" width="8" style="273" bestFit="1" customWidth="1"/>
    <col min="10504" max="10504" width="18.140625" style="273" bestFit="1" customWidth="1"/>
    <col min="10505" max="10505" width="10.5703125" style="273" bestFit="1" customWidth="1"/>
    <col min="10506" max="10753" width="13.42578125" style="273"/>
    <col min="10754" max="10754" width="10.28515625" style="273" bestFit="1" customWidth="1"/>
    <col min="10755" max="10755" width="16.7109375" style="273" bestFit="1" customWidth="1"/>
    <col min="10756" max="10756" width="17.5703125" style="273" bestFit="1" customWidth="1"/>
    <col min="10757" max="10757" width="12" style="273" bestFit="1" customWidth="1"/>
    <col min="10758" max="10758" width="26" style="273" customWidth="1"/>
    <col min="10759" max="10759" width="8" style="273" bestFit="1" customWidth="1"/>
    <col min="10760" max="10760" width="18.140625" style="273" bestFit="1" customWidth="1"/>
    <col min="10761" max="10761" width="10.5703125" style="273" bestFit="1" customWidth="1"/>
    <col min="10762" max="11009" width="13.42578125" style="273"/>
    <col min="11010" max="11010" width="10.28515625" style="273" bestFit="1" customWidth="1"/>
    <col min="11011" max="11011" width="16.7109375" style="273" bestFit="1" customWidth="1"/>
    <col min="11012" max="11012" width="17.5703125" style="273" bestFit="1" customWidth="1"/>
    <col min="11013" max="11013" width="12" style="273" bestFit="1" customWidth="1"/>
    <col min="11014" max="11014" width="26" style="273" customWidth="1"/>
    <col min="11015" max="11015" width="8" style="273" bestFit="1" customWidth="1"/>
    <col min="11016" max="11016" width="18.140625" style="273" bestFit="1" customWidth="1"/>
    <col min="11017" max="11017" width="10.5703125" style="273" bestFit="1" customWidth="1"/>
    <col min="11018" max="11265" width="13.42578125" style="273"/>
    <col min="11266" max="11266" width="10.28515625" style="273" bestFit="1" customWidth="1"/>
    <col min="11267" max="11267" width="16.7109375" style="273" bestFit="1" customWidth="1"/>
    <col min="11268" max="11268" width="17.5703125" style="273" bestFit="1" customWidth="1"/>
    <col min="11269" max="11269" width="12" style="273" bestFit="1" customWidth="1"/>
    <col min="11270" max="11270" width="26" style="273" customWidth="1"/>
    <col min="11271" max="11271" width="8" style="273" bestFit="1" customWidth="1"/>
    <col min="11272" max="11272" width="18.140625" style="273" bestFit="1" customWidth="1"/>
    <col min="11273" max="11273" width="10.5703125" style="273" bestFit="1" customWidth="1"/>
    <col min="11274" max="11521" width="13.42578125" style="273"/>
    <col min="11522" max="11522" width="10.28515625" style="273" bestFit="1" customWidth="1"/>
    <col min="11523" max="11523" width="16.7109375" style="273" bestFit="1" customWidth="1"/>
    <col min="11524" max="11524" width="17.5703125" style="273" bestFit="1" customWidth="1"/>
    <col min="11525" max="11525" width="12" style="273" bestFit="1" customWidth="1"/>
    <col min="11526" max="11526" width="26" style="273" customWidth="1"/>
    <col min="11527" max="11527" width="8" style="273" bestFit="1" customWidth="1"/>
    <col min="11528" max="11528" width="18.140625" style="273" bestFit="1" customWidth="1"/>
    <col min="11529" max="11529" width="10.5703125" style="273" bestFit="1" customWidth="1"/>
    <col min="11530" max="11777" width="13.42578125" style="273"/>
    <col min="11778" max="11778" width="10.28515625" style="273" bestFit="1" customWidth="1"/>
    <col min="11779" max="11779" width="16.7109375" style="273" bestFit="1" customWidth="1"/>
    <col min="11780" max="11780" width="17.5703125" style="273" bestFit="1" customWidth="1"/>
    <col min="11781" max="11781" width="12" style="273" bestFit="1" customWidth="1"/>
    <col min="11782" max="11782" width="26" style="273" customWidth="1"/>
    <col min="11783" max="11783" width="8" style="273" bestFit="1" customWidth="1"/>
    <col min="11784" max="11784" width="18.140625" style="273" bestFit="1" customWidth="1"/>
    <col min="11785" max="11785" width="10.5703125" style="273" bestFit="1" customWidth="1"/>
    <col min="11786" max="12033" width="13.42578125" style="273"/>
    <col min="12034" max="12034" width="10.28515625" style="273" bestFit="1" customWidth="1"/>
    <col min="12035" max="12035" width="16.7109375" style="273" bestFit="1" customWidth="1"/>
    <col min="12036" max="12036" width="17.5703125" style="273" bestFit="1" customWidth="1"/>
    <col min="12037" max="12037" width="12" style="273" bestFit="1" customWidth="1"/>
    <col min="12038" max="12038" width="26" style="273" customWidth="1"/>
    <col min="12039" max="12039" width="8" style="273" bestFit="1" customWidth="1"/>
    <col min="12040" max="12040" width="18.140625" style="273" bestFit="1" customWidth="1"/>
    <col min="12041" max="12041" width="10.5703125" style="273" bestFit="1" customWidth="1"/>
    <col min="12042" max="12289" width="13.42578125" style="273"/>
    <col min="12290" max="12290" width="10.28515625" style="273" bestFit="1" customWidth="1"/>
    <col min="12291" max="12291" width="16.7109375" style="273" bestFit="1" customWidth="1"/>
    <col min="12292" max="12292" width="17.5703125" style="273" bestFit="1" customWidth="1"/>
    <col min="12293" max="12293" width="12" style="273" bestFit="1" customWidth="1"/>
    <col min="12294" max="12294" width="26" style="273" customWidth="1"/>
    <col min="12295" max="12295" width="8" style="273" bestFit="1" customWidth="1"/>
    <col min="12296" max="12296" width="18.140625" style="273" bestFit="1" customWidth="1"/>
    <col min="12297" max="12297" width="10.5703125" style="273" bestFit="1" customWidth="1"/>
    <col min="12298" max="12545" width="13.42578125" style="273"/>
    <col min="12546" max="12546" width="10.28515625" style="273" bestFit="1" customWidth="1"/>
    <col min="12547" max="12547" width="16.7109375" style="273" bestFit="1" customWidth="1"/>
    <col min="12548" max="12548" width="17.5703125" style="273" bestFit="1" customWidth="1"/>
    <col min="12549" max="12549" width="12" style="273" bestFit="1" customWidth="1"/>
    <col min="12550" max="12550" width="26" style="273" customWidth="1"/>
    <col min="12551" max="12551" width="8" style="273" bestFit="1" customWidth="1"/>
    <col min="12552" max="12552" width="18.140625" style="273" bestFit="1" customWidth="1"/>
    <col min="12553" max="12553" width="10.5703125" style="273" bestFit="1" customWidth="1"/>
    <col min="12554" max="12801" width="13.42578125" style="273"/>
    <col min="12802" max="12802" width="10.28515625" style="273" bestFit="1" customWidth="1"/>
    <col min="12803" max="12803" width="16.7109375" style="273" bestFit="1" customWidth="1"/>
    <col min="12804" max="12804" width="17.5703125" style="273" bestFit="1" customWidth="1"/>
    <col min="12805" max="12805" width="12" style="273" bestFit="1" customWidth="1"/>
    <col min="12806" max="12806" width="26" style="273" customWidth="1"/>
    <col min="12807" max="12807" width="8" style="273" bestFit="1" customWidth="1"/>
    <col min="12808" max="12808" width="18.140625" style="273" bestFit="1" customWidth="1"/>
    <col min="12809" max="12809" width="10.5703125" style="273" bestFit="1" customWidth="1"/>
    <col min="12810" max="13057" width="13.42578125" style="273"/>
    <col min="13058" max="13058" width="10.28515625" style="273" bestFit="1" customWidth="1"/>
    <col min="13059" max="13059" width="16.7109375" style="273" bestFit="1" customWidth="1"/>
    <col min="13060" max="13060" width="17.5703125" style="273" bestFit="1" customWidth="1"/>
    <col min="13061" max="13061" width="12" style="273" bestFit="1" customWidth="1"/>
    <col min="13062" max="13062" width="26" style="273" customWidth="1"/>
    <col min="13063" max="13063" width="8" style="273" bestFit="1" customWidth="1"/>
    <col min="13064" max="13064" width="18.140625" style="273" bestFit="1" customWidth="1"/>
    <col min="13065" max="13065" width="10.5703125" style="273" bestFit="1" customWidth="1"/>
    <col min="13066" max="13313" width="13.42578125" style="273"/>
    <col min="13314" max="13314" width="10.28515625" style="273" bestFit="1" customWidth="1"/>
    <col min="13315" max="13315" width="16.7109375" style="273" bestFit="1" customWidth="1"/>
    <col min="13316" max="13316" width="17.5703125" style="273" bestFit="1" customWidth="1"/>
    <col min="13317" max="13317" width="12" style="273" bestFit="1" customWidth="1"/>
    <col min="13318" max="13318" width="26" style="273" customWidth="1"/>
    <col min="13319" max="13319" width="8" style="273" bestFit="1" customWidth="1"/>
    <col min="13320" max="13320" width="18.140625" style="273" bestFit="1" customWidth="1"/>
    <col min="13321" max="13321" width="10.5703125" style="273" bestFit="1" customWidth="1"/>
    <col min="13322" max="13569" width="13.42578125" style="273"/>
    <col min="13570" max="13570" width="10.28515625" style="273" bestFit="1" customWidth="1"/>
    <col min="13571" max="13571" width="16.7109375" style="273" bestFit="1" customWidth="1"/>
    <col min="13572" max="13572" width="17.5703125" style="273" bestFit="1" customWidth="1"/>
    <col min="13573" max="13573" width="12" style="273" bestFit="1" customWidth="1"/>
    <col min="13574" max="13574" width="26" style="273" customWidth="1"/>
    <col min="13575" max="13575" width="8" style="273" bestFit="1" customWidth="1"/>
    <col min="13576" max="13576" width="18.140625" style="273" bestFit="1" customWidth="1"/>
    <col min="13577" max="13577" width="10.5703125" style="273" bestFit="1" customWidth="1"/>
    <col min="13578" max="13825" width="13.42578125" style="273"/>
    <col min="13826" max="13826" width="10.28515625" style="273" bestFit="1" customWidth="1"/>
    <col min="13827" max="13827" width="16.7109375" style="273" bestFit="1" customWidth="1"/>
    <col min="13828" max="13828" width="17.5703125" style="273" bestFit="1" customWidth="1"/>
    <col min="13829" max="13829" width="12" style="273" bestFit="1" customWidth="1"/>
    <col min="13830" max="13830" width="26" style="273" customWidth="1"/>
    <col min="13831" max="13831" width="8" style="273" bestFit="1" customWidth="1"/>
    <col min="13832" max="13832" width="18.140625" style="273" bestFit="1" customWidth="1"/>
    <col min="13833" max="13833" width="10.5703125" style="273" bestFit="1" customWidth="1"/>
    <col min="13834" max="14081" width="13.42578125" style="273"/>
    <col min="14082" max="14082" width="10.28515625" style="273" bestFit="1" customWidth="1"/>
    <col min="14083" max="14083" width="16.7109375" style="273" bestFit="1" customWidth="1"/>
    <col min="14084" max="14084" width="17.5703125" style="273" bestFit="1" customWidth="1"/>
    <col min="14085" max="14085" width="12" style="273" bestFit="1" customWidth="1"/>
    <col min="14086" max="14086" width="26" style="273" customWidth="1"/>
    <col min="14087" max="14087" width="8" style="273" bestFit="1" customWidth="1"/>
    <col min="14088" max="14088" width="18.140625" style="273" bestFit="1" customWidth="1"/>
    <col min="14089" max="14089" width="10.5703125" style="273" bestFit="1" customWidth="1"/>
    <col min="14090" max="14337" width="13.42578125" style="273"/>
    <col min="14338" max="14338" width="10.28515625" style="273" bestFit="1" customWidth="1"/>
    <col min="14339" max="14339" width="16.7109375" style="273" bestFit="1" customWidth="1"/>
    <col min="14340" max="14340" width="17.5703125" style="273" bestFit="1" customWidth="1"/>
    <col min="14341" max="14341" width="12" style="273" bestFit="1" customWidth="1"/>
    <col min="14342" max="14342" width="26" style="273" customWidth="1"/>
    <col min="14343" max="14343" width="8" style="273" bestFit="1" customWidth="1"/>
    <col min="14344" max="14344" width="18.140625" style="273" bestFit="1" customWidth="1"/>
    <col min="14345" max="14345" width="10.5703125" style="273" bestFit="1" customWidth="1"/>
    <col min="14346" max="14593" width="13.42578125" style="273"/>
    <col min="14594" max="14594" width="10.28515625" style="273" bestFit="1" customWidth="1"/>
    <col min="14595" max="14595" width="16.7109375" style="273" bestFit="1" customWidth="1"/>
    <col min="14596" max="14596" width="17.5703125" style="273" bestFit="1" customWidth="1"/>
    <col min="14597" max="14597" width="12" style="273" bestFit="1" customWidth="1"/>
    <col min="14598" max="14598" width="26" style="273" customWidth="1"/>
    <col min="14599" max="14599" width="8" style="273" bestFit="1" customWidth="1"/>
    <col min="14600" max="14600" width="18.140625" style="273" bestFit="1" customWidth="1"/>
    <col min="14601" max="14601" width="10.5703125" style="273" bestFit="1" customWidth="1"/>
    <col min="14602" max="14849" width="13.42578125" style="273"/>
    <col min="14850" max="14850" width="10.28515625" style="273" bestFit="1" customWidth="1"/>
    <col min="14851" max="14851" width="16.7109375" style="273" bestFit="1" customWidth="1"/>
    <col min="14852" max="14852" width="17.5703125" style="273" bestFit="1" customWidth="1"/>
    <col min="14853" max="14853" width="12" style="273" bestFit="1" customWidth="1"/>
    <col min="14854" max="14854" width="26" style="273" customWidth="1"/>
    <col min="14855" max="14855" width="8" style="273" bestFit="1" customWidth="1"/>
    <col min="14856" max="14856" width="18.140625" style="273" bestFit="1" customWidth="1"/>
    <col min="14857" max="14857" width="10.5703125" style="273" bestFit="1" customWidth="1"/>
    <col min="14858" max="15105" width="13.42578125" style="273"/>
    <col min="15106" max="15106" width="10.28515625" style="273" bestFit="1" customWidth="1"/>
    <col min="15107" max="15107" width="16.7109375" style="273" bestFit="1" customWidth="1"/>
    <col min="15108" max="15108" width="17.5703125" style="273" bestFit="1" customWidth="1"/>
    <col min="15109" max="15109" width="12" style="273" bestFit="1" customWidth="1"/>
    <col min="15110" max="15110" width="26" style="273" customWidth="1"/>
    <col min="15111" max="15111" width="8" style="273" bestFit="1" customWidth="1"/>
    <col min="15112" max="15112" width="18.140625" style="273" bestFit="1" customWidth="1"/>
    <col min="15113" max="15113" width="10.5703125" style="273" bestFit="1" customWidth="1"/>
    <col min="15114" max="15361" width="13.42578125" style="273"/>
    <col min="15362" max="15362" width="10.28515625" style="273" bestFit="1" customWidth="1"/>
    <col min="15363" max="15363" width="16.7109375" style="273" bestFit="1" customWidth="1"/>
    <col min="15364" max="15364" width="17.5703125" style="273" bestFit="1" customWidth="1"/>
    <col min="15365" max="15365" width="12" style="273" bestFit="1" customWidth="1"/>
    <col min="15366" max="15366" width="26" style="273" customWidth="1"/>
    <col min="15367" max="15367" width="8" style="273" bestFit="1" customWidth="1"/>
    <col min="15368" max="15368" width="18.140625" style="273" bestFit="1" customWidth="1"/>
    <col min="15369" max="15369" width="10.5703125" style="273" bestFit="1" customWidth="1"/>
    <col min="15370" max="15617" width="13.42578125" style="273"/>
    <col min="15618" max="15618" width="10.28515625" style="273" bestFit="1" customWidth="1"/>
    <col min="15619" max="15619" width="16.7109375" style="273" bestFit="1" customWidth="1"/>
    <col min="15620" max="15620" width="17.5703125" style="273" bestFit="1" customWidth="1"/>
    <col min="15621" max="15621" width="12" style="273" bestFit="1" customWidth="1"/>
    <col min="15622" max="15622" width="26" style="273" customWidth="1"/>
    <col min="15623" max="15623" width="8" style="273" bestFit="1" customWidth="1"/>
    <col min="15624" max="15624" width="18.140625" style="273" bestFit="1" customWidth="1"/>
    <col min="15625" max="15625" width="10.5703125" style="273" bestFit="1" customWidth="1"/>
    <col min="15626" max="15873" width="13.42578125" style="273"/>
    <col min="15874" max="15874" width="10.28515625" style="273" bestFit="1" customWidth="1"/>
    <col min="15875" max="15875" width="16.7109375" style="273" bestFit="1" customWidth="1"/>
    <col min="15876" max="15876" width="17.5703125" style="273" bestFit="1" customWidth="1"/>
    <col min="15877" max="15877" width="12" style="273" bestFit="1" customWidth="1"/>
    <col min="15878" max="15878" width="26" style="273" customWidth="1"/>
    <col min="15879" max="15879" width="8" style="273" bestFit="1" customWidth="1"/>
    <col min="15880" max="15880" width="18.140625" style="273" bestFit="1" customWidth="1"/>
    <col min="15881" max="15881" width="10.5703125" style="273" bestFit="1" customWidth="1"/>
    <col min="15882" max="16129" width="13.42578125" style="273"/>
    <col min="16130" max="16130" width="10.28515625" style="273" bestFit="1" customWidth="1"/>
    <col min="16131" max="16131" width="16.7109375" style="273" bestFit="1" customWidth="1"/>
    <col min="16132" max="16132" width="17.5703125" style="273" bestFit="1" customWidth="1"/>
    <col min="16133" max="16133" width="12" style="273" bestFit="1" customWidth="1"/>
    <col min="16134" max="16134" width="26" style="273" customWidth="1"/>
    <col min="16135" max="16135" width="8" style="273" bestFit="1" customWidth="1"/>
    <col min="16136" max="16136" width="18.140625" style="273" bestFit="1" customWidth="1"/>
    <col min="16137" max="16137" width="10.5703125" style="273" bestFit="1" customWidth="1"/>
    <col min="16138" max="16384" width="13.42578125" style="273"/>
  </cols>
  <sheetData>
    <row r="1" spans="1:14" s="264" customFormat="1" x14ac:dyDescent="0.2">
      <c r="A1" s="262" t="s">
        <v>293</v>
      </c>
      <c r="B1" s="263" t="s">
        <v>294</v>
      </c>
      <c r="C1" s="263" t="s">
        <v>295</v>
      </c>
      <c r="D1" s="263" t="s">
        <v>296</v>
      </c>
      <c r="E1" s="263" t="s">
        <v>297</v>
      </c>
      <c r="F1" s="263" t="s">
        <v>298</v>
      </c>
      <c r="G1" s="684" t="s">
        <v>638</v>
      </c>
      <c r="H1" s="264" t="s">
        <v>299</v>
      </c>
      <c r="I1" s="264" t="s">
        <v>300</v>
      </c>
      <c r="J1" s="275" t="s">
        <v>291</v>
      </c>
      <c r="K1" s="275" t="s">
        <v>314</v>
      </c>
      <c r="L1" s="275" t="s">
        <v>313</v>
      </c>
      <c r="M1" s="275" t="s">
        <v>315</v>
      </c>
      <c r="N1" s="275" t="s">
        <v>335</v>
      </c>
    </row>
    <row r="2" spans="1:14" s="268" customFormat="1" x14ac:dyDescent="0.2">
      <c r="A2" s="265" t="s">
        <v>301</v>
      </c>
      <c r="B2" s="266" t="s">
        <v>301</v>
      </c>
      <c r="C2" s="266" t="s">
        <v>301</v>
      </c>
      <c r="D2" s="266" t="s">
        <v>301</v>
      </c>
      <c r="E2" s="266" t="s">
        <v>301</v>
      </c>
      <c r="F2" s="266" t="s">
        <v>301</v>
      </c>
      <c r="G2" s="685"/>
      <c r="H2" s="267"/>
      <c r="I2" s="267"/>
      <c r="J2" s="276"/>
      <c r="K2" s="276"/>
      <c r="L2" s="276"/>
      <c r="M2" s="276"/>
      <c r="N2" s="276"/>
    </row>
    <row r="3" spans="1:14" s="271" customFormat="1" ht="102" thickBot="1" x14ac:dyDescent="0.25">
      <c r="A3" s="269" t="s">
        <v>302</v>
      </c>
      <c r="B3" s="270" t="s">
        <v>303</v>
      </c>
      <c r="C3" s="270" t="s">
        <v>304</v>
      </c>
      <c r="D3" s="270" t="s">
        <v>305</v>
      </c>
      <c r="E3" s="270" t="s">
        <v>306</v>
      </c>
      <c r="F3" s="270" t="s">
        <v>307</v>
      </c>
      <c r="G3" s="686"/>
      <c r="H3" s="271" t="s">
        <v>308</v>
      </c>
      <c r="I3" s="271" t="s">
        <v>309</v>
      </c>
      <c r="J3" s="277"/>
      <c r="K3" s="277"/>
      <c r="L3" s="277"/>
      <c r="M3" s="277"/>
      <c r="N3" s="277"/>
    </row>
    <row r="5" spans="1:14" x14ac:dyDescent="0.2">
      <c r="A5" s="272" t="s">
        <v>249</v>
      </c>
      <c r="B5" s="272" t="s">
        <v>310</v>
      </c>
      <c r="C5" s="272" t="s">
        <v>311</v>
      </c>
      <c r="D5" s="687" t="str">
        <f>CONCATENATE("100-000-",K5,"-",L5,"-",M5,"-",N5)</f>
        <v>100-000-0000-1110-000-00-01</v>
      </c>
      <c r="E5" s="274" t="s">
        <v>147</v>
      </c>
      <c r="F5" s="687">
        <f>IFERROR(G5,0)</f>
        <v>359250.00249599997</v>
      </c>
      <c r="G5" s="688">
        <f>VLOOKUP(L5,'Function-Grant'!$C:$AP,3,'Function-Grant'!$C:$AP)</f>
        <v>359250.00249599997</v>
      </c>
      <c r="H5" s="273" t="s">
        <v>311</v>
      </c>
      <c r="J5" s="278" t="s">
        <v>258</v>
      </c>
      <c r="K5" s="689" t="str">
        <f>LEFT(J5,4)</f>
        <v>0000</v>
      </c>
      <c r="L5" s="689">
        <v>1110</v>
      </c>
      <c r="M5" s="689" t="str">
        <f t="shared" ref="M5:M70" si="0">RIGHT(J5,3)</f>
        <v>000</v>
      </c>
      <c r="N5" s="278" t="s">
        <v>336</v>
      </c>
    </row>
    <row r="6" spans="1:14" x14ac:dyDescent="0.2">
      <c r="A6" s="272" t="s">
        <v>249</v>
      </c>
      <c r="B6" s="272" t="s">
        <v>310</v>
      </c>
      <c r="C6" s="272" t="s">
        <v>311</v>
      </c>
      <c r="D6" s="687" t="str">
        <f t="shared" ref="D6:D18" si="1">CONCATENATE("100-000-",K6,"-",L6,"-",M6,"-",N6)</f>
        <v>100-000-0000-1120-000-00-01</v>
      </c>
      <c r="E6" s="274" t="s">
        <v>147</v>
      </c>
      <c r="F6" s="687">
        <f t="shared" ref="F6:F40" si="2">IFERROR(G6,0)</f>
        <v>394630.68456000002</v>
      </c>
      <c r="G6" s="688">
        <f>VLOOKUP(L6,'Function-Grant'!$C:$AP,3,'Function-Grant'!$C:$AP)</f>
        <v>394630.68456000002</v>
      </c>
      <c r="H6" s="273" t="s">
        <v>311</v>
      </c>
      <c r="J6" s="278" t="s">
        <v>258</v>
      </c>
      <c r="K6" s="689" t="str">
        <f t="shared" ref="K6:K72" si="3">LEFT(J6,4)</f>
        <v>0000</v>
      </c>
      <c r="L6" s="689">
        <v>1120</v>
      </c>
      <c r="M6" s="689" t="str">
        <f t="shared" si="0"/>
        <v>000</v>
      </c>
      <c r="N6" s="278" t="s">
        <v>336</v>
      </c>
    </row>
    <row r="7" spans="1:14" x14ac:dyDescent="0.2">
      <c r="A7" s="272" t="s">
        <v>249</v>
      </c>
      <c r="B7" s="272" t="s">
        <v>310</v>
      </c>
      <c r="C7" s="272" t="s">
        <v>311</v>
      </c>
      <c r="D7" s="687" t="str">
        <f t="shared" si="1"/>
        <v>100-000-0000-1191-000-00-01</v>
      </c>
      <c r="E7" s="274" t="s">
        <v>147</v>
      </c>
      <c r="F7" s="687">
        <f t="shared" si="2"/>
        <v>1360.795464</v>
      </c>
      <c r="G7" s="688">
        <f>VLOOKUP(L7,'Function-Grant'!$C:$AP,3,'Function-Grant'!$C:$AP)</f>
        <v>1360.795464</v>
      </c>
      <c r="H7" s="273" t="s">
        <v>311</v>
      </c>
      <c r="J7" s="278" t="s">
        <v>258</v>
      </c>
      <c r="K7" s="689" t="str">
        <f t="shared" si="3"/>
        <v>0000</v>
      </c>
      <c r="L7" s="689">
        <v>1191</v>
      </c>
      <c r="M7" s="689" t="str">
        <f t="shared" si="0"/>
        <v>000</v>
      </c>
      <c r="N7" s="278" t="s">
        <v>336</v>
      </c>
    </row>
    <row r="8" spans="1:14" x14ac:dyDescent="0.2">
      <c r="A8" s="272" t="s">
        <v>249</v>
      </c>
      <c r="B8" s="272" t="s">
        <v>310</v>
      </c>
      <c r="C8" s="272" t="s">
        <v>311</v>
      </c>
      <c r="D8" s="687" t="str">
        <f t="shared" si="1"/>
        <v>100-000-0000-1192-000-00-01</v>
      </c>
      <c r="E8" s="274" t="s">
        <v>147</v>
      </c>
      <c r="F8" s="687">
        <f t="shared" si="2"/>
        <v>42184.659384000006</v>
      </c>
      <c r="G8" s="688">
        <f>VLOOKUP(L8,'Function-Grant'!$C:$AP,3,'Function-Grant'!$C:$AP)</f>
        <v>42184.659384000006</v>
      </c>
      <c r="H8" s="273" t="s">
        <v>311</v>
      </c>
      <c r="J8" s="278" t="s">
        <v>258</v>
      </c>
      <c r="K8" s="689" t="str">
        <f t="shared" si="3"/>
        <v>0000</v>
      </c>
      <c r="L8" s="689">
        <v>1192</v>
      </c>
      <c r="M8" s="689" t="str">
        <f t="shared" si="0"/>
        <v>000</v>
      </c>
      <c r="N8" s="278" t="s">
        <v>336</v>
      </c>
    </row>
    <row r="9" spans="1:14" x14ac:dyDescent="0.2">
      <c r="A9" s="272" t="s">
        <v>249</v>
      </c>
      <c r="B9" s="272" t="s">
        <v>310</v>
      </c>
      <c r="C9" s="272" t="s">
        <v>311</v>
      </c>
      <c r="D9" s="687" t="str">
        <f t="shared" si="1"/>
        <v>100-000-0000-1790-000-00-01</v>
      </c>
      <c r="E9" s="274" t="s">
        <v>147</v>
      </c>
      <c r="F9" s="687">
        <f t="shared" si="2"/>
        <v>0</v>
      </c>
      <c r="G9" s="688">
        <f>VLOOKUP(L9,'Function-Grant'!$C:$AP,3,'Function-Grant'!$C:$AP)</f>
        <v>0</v>
      </c>
      <c r="H9" s="273" t="s">
        <v>311</v>
      </c>
      <c r="J9" s="278" t="s">
        <v>258</v>
      </c>
      <c r="K9" s="689" t="str">
        <f t="shared" si="3"/>
        <v>0000</v>
      </c>
      <c r="L9" s="689">
        <v>1790</v>
      </c>
      <c r="M9" s="689" t="str">
        <f t="shared" si="0"/>
        <v>000</v>
      </c>
      <c r="N9" s="278" t="s">
        <v>336</v>
      </c>
    </row>
    <row r="10" spans="1:14" x14ac:dyDescent="0.2">
      <c r="A10" s="272" t="s">
        <v>249</v>
      </c>
      <c r="B10" s="272" t="s">
        <v>310</v>
      </c>
      <c r="C10" s="272" t="s">
        <v>311</v>
      </c>
      <c r="D10" s="687" t="str">
        <f t="shared" si="1"/>
        <v>100-000-0000-3110-000-00-01</v>
      </c>
      <c r="E10" s="274" t="s">
        <v>147</v>
      </c>
      <c r="F10" s="687">
        <f t="shared" si="2"/>
        <v>563369.32209599984</v>
      </c>
      <c r="G10" s="688">
        <f>VLOOKUP(L10,'Function-Grant'!$C:$AP,3,'Function-Grant'!$C:$AP)</f>
        <v>563369.32209599984</v>
      </c>
      <c r="H10" s="273" t="s">
        <v>311</v>
      </c>
      <c r="J10" s="278" t="s">
        <v>258</v>
      </c>
      <c r="K10" s="689" t="str">
        <f t="shared" si="3"/>
        <v>0000</v>
      </c>
      <c r="L10" s="689">
        <v>3110</v>
      </c>
      <c r="M10" s="689" t="str">
        <f t="shared" si="0"/>
        <v>000</v>
      </c>
      <c r="N10" s="278" t="s">
        <v>336</v>
      </c>
    </row>
    <row r="11" spans="1:14" x14ac:dyDescent="0.2">
      <c r="A11" s="272" t="s">
        <v>249</v>
      </c>
      <c r="B11" s="272" t="s">
        <v>310</v>
      </c>
      <c r="C11" s="272" t="s">
        <v>311</v>
      </c>
      <c r="D11" s="687" t="str">
        <f t="shared" si="1"/>
        <v>100-000-0000-3115-000-00-01</v>
      </c>
      <c r="E11" s="274" t="s">
        <v>147</v>
      </c>
      <c r="F11" s="687">
        <f t="shared" si="2"/>
        <v>0</v>
      </c>
      <c r="G11" s="688">
        <f>VLOOKUP(L11,'Function-Grant'!$C:$AP,3,'Function-Grant'!$C:$AP)</f>
        <v>0</v>
      </c>
      <c r="H11" s="273" t="s">
        <v>311</v>
      </c>
      <c r="J11" s="278" t="s">
        <v>258</v>
      </c>
      <c r="K11" s="689" t="str">
        <f t="shared" si="3"/>
        <v>0000</v>
      </c>
      <c r="L11" s="689">
        <v>3115</v>
      </c>
      <c r="M11" s="689" t="str">
        <f t="shared" si="0"/>
        <v>000</v>
      </c>
      <c r="N11" s="278" t="s">
        <v>336</v>
      </c>
    </row>
    <row r="12" spans="1:14" x14ac:dyDescent="0.2">
      <c r="A12" s="272" t="s">
        <v>249</v>
      </c>
      <c r="B12" s="272" t="s">
        <v>310</v>
      </c>
      <c r="C12" s="272" t="s">
        <v>311</v>
      </c>
      <c r="D12" s="687" t="str">
        <f t="shared" si="1"/>
        <v>100-000-0000-3200-000-00-01</v>
      </c>
      <c r="E12" s="274" t="s">
        <v>147</v>
      </c>
      <c r="F12" s="687">
        <f t="shared" si="2"/>
        <v>0</v>
      </c>
      <c r="G12" s="688">
        <f>VLOOKUP(L12,'Function-Grant'!$C:$AP,3,'Function-Grant'!$C:$AP)</f>
        <v>0</v>
      </c>
      <c r="H12" s="273" t="s">
        <v>311</v>
      </c>
      <c r="J12" s="278" t="s">
        <v>258</v>
      </c>
      <c r="K12" s="689" t="str">
        <f t="shared" si="3"/>
        <v>0000</v>
      </c>
      <c r="L12" s="689">
        <v>3200</v>
      </c>
      <c r="M12" s="689" t="str">
        <f t="shared" si="0"/>
        <v>000</v>
      </c>
      <c r="N12" s="278" t="s">
        <v>336</v>
      </c>
    </row>
    <row r="13" spans="1:14" x14ac:dyDescent="0.2">
      <c r="A13" s="272" t="s">
        <v>249</v>
      </c>
      <c r="B13" s="272" t="s">
        <v>310</v>
      </c>
      <c r="C13" s="272" t="s">
        <v>311</v>
      </c>
      <c r="D13" s="687" t="str">
        <f t="shared" si="1"/>
        <v>100-000-0000-3200-294-00-01</v>
      </c>
      <c r="E13" s="274" t="s">
        <v>147</v>
      </c>
      <c r="F13" s="687">
        <f t="shared" si="2"/>
        <v>0</v>
      </c>
      <c r="G13" s="688">
        <f>VLOOKUP(L13,'Function-Grant'!$C:$AP,23,'Function-Grant'!$C:$AP)</f>
        <v>0</v>
      </c>
      <c r="H13" s="273" t="s">
        <v>311</v>
      </c>
      <c r="J13" s="278" t="s">
        <v>639</v>
      </c>
      <c r="K13" s="689" t="str">
        <f t="shared" si="3"/>
        <v>0000</v>
      </c>
      <c r="L13" s="689">
        <v>3200</v>
      </c>
      <c r="M13" s="689" t="str">
        <f t="shared" si="0"/>
        <v>294</v>
      </c>
      <c r="N13" s="278" t="s">
        <v>336</v>
      </c>
    </row>
    <row r="14" spans="1:14" x14ac:dyDescent="0.2">
      <c r="A14" s="272" t="s">
        <v>249</v>
      </c>
      <c r="B14" s="272" t="s">
        <v>310</v>
      </c>
      <c r="C14" s="272" t="s">
        <v>311</v>
      </c>
      <c r="D14" s="687" t="str">
        <f t="shared" si="1"/>
        <v>100-000-0000-3200-325-00-01</v>
      </c>
      <c r="E14" s="274" t="s">
        <v>147</v>
      </c>
      <c r="F14" s="687">
        <f t="shared" si="2"/>
        <v>0</v>
      </c>
      <c r="G14" s="688">
        <f>VLOOKUP(L14,'Function-Grant'!$C:$AP,25,'Function-Grant'!$C:$AP)</f>
        <v>0</v>
      </c>
      <c r="H14" s="273" t="s">
        <v>311</v>
      </c>
      <c r="J14" s="278" t="s">
        <v>277</v>
      </c>
      <c r="K14" s="689" t="str">
        <f t="shared" si="3"/>
        <v>0000</v>
      </c>
      <c r="L14" s="689">
        <v>3200</v>
      </c>
      <c r="M14" s="689" t="str">
        <f t="shared" si="0"/>
        <v>325</v>
      </c>
      <c r="N14" s="278" t="s">
        <v>336</v>
      </c>
    </row>
    <row r="15" spans="1:14" x14ac:dyDescent="0.2">
      <c r="A15" s="272" t="s">
        <v>249</v>
      </c>
      <c r="B15" s="272" t="s">
        <v>310</v>
      </c>
      <c r="C15" s="272" t="s">
        <v>311</v>
      </c>
      <c r="D15" s="687" t="str">
        <f t="shared" si="1"/>
        <v>100-000-0000-3200-390-00-01</v>
      </c>
      <c r="E15" s="274" t="s">
        <v>147</v>
      </c>
      <c r="F15" s="687">
        <f>IFERROR(G15,0)</f>
        <v>384</v>
      </c>
      <c r="G15" s="688">
        <f>VLOOKUP(L15,'Function-Grant'!$C:$AP,24,'Function-Grant'!$C:$AP)</f>
        <v>384</v>
      </c>
      <c r="H15" s="273" t="s">
        <v>311</v>
      </c>
      <c r="J15" s="278" t="s">
        <v>640</v>
      </c>
      <c r="K15" s="689" t="str">
        <f t="shared" si="3"/>
        <v>0000</v>
      </c>
      <c r="L15" s="689">
        <v>3200</v>
      </c>
      <c r="M15" s="689" t="str">
        <f t="shared" si="0"/>
        <v>390</v>
      </c>
      <c r="N15" s="278" t="s">
        <v>336</v>
      </c>
    </row>
    <row r="16" spans="1:14" x14ac:dyDescent="0.2">
      <c r="A16" s="272" t="s">
        <v>249</v>
      </c>
      <c r="B16" s="272" t="s">
        <v>310</v>
      </c>
      <c r="C16" s="272" t="s">
        <v>311</v>
      </c>
      <c r="D16" s="687" t="str">
        <f t="shared" si="1"/>
        <v>100-000-0000-4500-000-00-01</v>
      </c>
      <c r="E16" s="274" t="s">
        <v>147</v>
      </c>
      <c r="F16" s="687">
        <f t="shared" si="2"/>
        <v>0</v>
      </c>
      <c r="G16" s="688">
        <f>VLOOKUP(L16,'Function-Grant'!$C:$AP,3,'Function-Grant'!$C:$AP)</f>
        <v>0</v>
      </c>
      <c r="H16" s="273" t="s">
        <v>311</v>
      </c>
      <c r="J16" s="278" t="s">
        <v>258</v>
      </c>
      <c r="K16" s="689" t="str">
        <f t="shared" si="3"/>
        <v>0000</v>
      </c>
      <c r="L16" s="689">
        <v>4500</v>
      </c>
      <c r="M16" s="689" t="str">
        <f t="shared" si="0"/>
        <v>000</v>
      </c>
      <c r="N16" s="278" t="s">
        <v>336</v>
      </c>
    </row>
    <row r="17" spans="1:14" x14ac:dyDescent="0.2">
      <c r="A17" s="272" t="s">
        <v>249</v>
      </c>
      <c r="B17" s="272" t="s">
        <v>310</v>
      </c>
      <c r="C17" s="272" t="s">
        <v>311</v>
      </c>
      <c r="D17" s="687" t="str">
        <f t="shared" si="1"/>
        <v>100-000-0000-4571-000-00-01</v>
      </c>
      <c r="E17" s="274" t="s">
        <v>147</v>
      </c>
      <c r="F17" s="687">
        <f t="shared" si="2"/>
        <v>0</v>
      </c>
      <c r="G17" s="688">
        <f>VLOOKUP(L17,'Function-Grant'!$C:$AP,3,'Function-Grant'!$C:$AP)</f>
        <v>0</v>
      </c>
      <c r="H17" s="273" t="s">
        <v>311</v>
      </c>
      <c r="J17" s="278" t="s">
        <v>258</v>
      </c>
      <c r="K17" s="689" t="str">
        <f t="shared" si="3"/>
        <v>0000</v>
      </c>
      <c r="L17" s="689">
        <v>4571</v>
      </c>
      <c r="M17" s="689" t="str">
        <f t="shared" si="0"/>
        <v>000</v>
      </c>
      <c r="N17" s="278" t="s">
        <v>336</v>
      </c>
    </row>
    <row r="18" spans="1:14" x14ac:dyDescent="0.2">
      <c r="A18" s="272" t="s">
        <v>249</v>
      </c>
      <c r="B18" s="272" t="s">
        <v>310</v>
      </c>
      <c r="C18" s="272" t="s">
        <v>311</v>
      </c>
      <c r="D18" s="687" t="str">
        <f t="shared" si="1"/>
        <v>100-000-0000-4703-000-00-01</v>
      </c>
      <c r="E18" s="274" t="s">
        <v>147</v>
      </c>
      <c r="F18" s="687">
        <f t="shared" si="2"/>
        <v>0</v>
      </c>
      <c r="G18" s="688">
        <f>VLOOKUP(L18,'Function-Grant'!$C:$AP,3,'Function-Grant'!$C:$AP)</f>
        <v>0</v>
      </c>
      <c r="H18" s="273" t="s">
        <v>311</v>
      </c>
      <c r="J18" s="278" t="s">
        <v>258</v>
      </c>
      <c r="K18" s="689" t="str">
        <f t="shared" si="3"/>
        <v>0000</v>
      </c>
      <c r="L18" s="689">
        <v>4703</v>
      </c>
      <c r="M18" s="689" t="str">
        <f t="shared" si="0"/>
        <v>000</v>
      </c>
      <c r="N18" s="278" t="s">
        <v>336</v>
      </c>
    </row>
    <row r="19" spans="1:14" x14ac:dyDescent="0.2">
      <c r="A19" s="272" t="s">
        <v>249</v>
      </c>
      <c r="B19" s="272" t="s">
        <v>310</v>
      </c>
      <c r="C19" s="272" t="s">
        <v>311</v>
      </c>
      <c r="D19" s="687" t="str">
        <f t="shared" ref="D19:D87" si="4">CONCATENATE("100-100-",K19,"-",L19,"-",M19,"-32-01")</f>
        <v>100-100-1000--000-32-01</v>
      </c>
      <c r="H19" s="273" t="s">
        <v>311</v>
      </c>
      <c r="J19" s="278" t="s">
        <v>259</v>
      </c>
      <c r="K19" s="689" t="str">
        <f t="shared" si="3"/>
        <v>1000</v>
      </c>
      <c r="L19" s="689"/>
      <c r="M19" s="689" t="str">
        <f t="shared" si="0"/>
        <v>000</v>
      </c>
      <c r="N19" s="278" t="s">
        <v>336</v>
      </c>
    </row>
    <row r="20" spans="1:14" x14ac:dyDescent="0.2">
      <c r="A20" s="272" t="s">
        <v>249</v>
      </c>
      <c r="B20" s="272" t="s">
        <v>310</v>
      </c>
      <c r="C20" s="272" t="s">
        <v>311</v>
      </c>
      <c r="D20" s="687" t="str">
        <f t="shared" si="4"/>
        <v>100-100-1000-6111-000-32-01</v>
      </c>
      <c r="E20" s="272" t="s">
        <v>312</v>
      </c>
      <c r="F20" s="687">
        <f t="shared" si="2"/>
        <v>109442.56499999999</v>
      </c>
      <c r="G20" s="688">
        <f>VLOOKUP(L20,'Function-Grant'!$C:$AP,4,'Function-Grant'!$C:$AP)</f>
        <v>109442.56499999999</v>
      </c>
      <c r="H20" s="273" t="s">
        <v>311</v>
      </c>
      <c r="J20" s="278" t="s">
        <v>259</v>
      </c>
      <c r="K20" s="689" t="str">
        <f t="shared" si="3"/>
        <v>1000</v>
      </c>
      <c r="L20" s="689">
        <v>6111</v>
      </c>
      <c r="M20" s="689" t="str">
        <f t="shared" si="0"/>
        <v>000</v>
      </c>
      <c r="N20" s="278" t="s">
        <v>337</v>
      </c>
    </row>
    <row r="21" spans="1:14" x14ac:dyDescent="0.2">
      <c r="A21" s="272" t="s">
        <v>249</v>
      </c>
      <c r="B21" s="272" t="s">
        <v>310</v>
      </c>
      <c r="C21" s="272" t="s">
        <v>311</v>
      </c>
      <c r="D21" s="687" t="str">
        <f t="shared" si="4"/>
        <v>100-100-1000-6151-000-32-01</v>
      </c>
      <c r="E21" s="272" t="s">
        <v>312</v>
      </c>
      <c r="F21" s="687">
        <f t="shared" si="2"/>
        <v>6000</v>
      </c>
      <c r="G21" s="688">
        <f>VLOOKUP(L21,'Function-Grant'!$C:$AP,4,'Function-Grant'!$C:$AP)</f>
        <v>6000</v>
      </c>
      <c r="H21" s="273" t="s">
        <v>311</v>
      </c>
      <c r="J21" s="278" t="s">
        <v>259</v>
      </c>
      <c r="K21" s="689" t="str">
        <f t="shared" si="3"/>
        <v>1000</v>
      </c>
      <c r="L21" s="689">
        <v>6151</v>
      </c>
      <c r="M21" s="689" t="str">
        <f t="shared" si="0"/>
        <v>000</v>
      </c>
      <c r="N21" s="278" t="s">
        <v>337</v>
      </c>
    </row>
    <row r="22" spans="1:14" x14ac:dyDescent="0.2">
      <c r="A22" s="272" t="s">
        <v>249</v>
      </c>
      <c r="B22" s="272" t="s">
        <v>310</v>
      </c>
      <c r="C22" s="272" t="s">
        <v>311</v>
      </c>
      <c r="D22" s="687" t="str">
        <f t="shared" si="4"/>
        <v>100-100-1000-6161-000-32-01</v>
      </c>
      <c r="E22" s="272" t="s">
        <v>312</v>
      </c>
      <c r="F22" s="687">
        <f t="shared" si="2"/>
        <v>1200</v>
      </c>
      <c r="G22" s="688">
        <f>VLOOKUP(L22,'Function-Grant'!$C:$AP,4,'Function-Grant'!$C:$AP)</f>
        <v>1200</v>
      </c>
      <c r="H22" s="273" t="s">
        <v>311</v>
      </c>
      <c r="J22" s="278" t="s">
        <v>259</v>
      </c>
      <c r="K22" s="689" t="str">
        <f t="shared" si="3"/>
        <v>1000</v>
      </c>
      <c r="L22" s="689">
        <v>6161</v>
      </c>
      <c r="M22" s="689" t="str">
        <f t="shared" si="0"/>
        <v>000</v>
      </c>
      <c r="N22" s="278" t="s">
        <v>337</v>
      </c>
    </row>
    <row r="23" spans="1:14" x14ac:dyDescent="0.2">
      <c r="A23" s="272" t="s">
        <v>249</v>
      </c>
      <c r="B23" s="272" t="s">
        <v>310</v>
      </c>
      <c r="C23" s="272" t="s">
        <v>311</v>
      </c>
      <c r="D23" s="687" t="str">
        <f t="shared" si="4"/>
        <v>100-100-1000-6211-000-32-01</v>
      </c>
      <c r="E23" s="272" t="s">
        <v>312</v>
      </c>
      <c r="F23" s="687">
        <f t="shared" si="2"/>
        <v>888</v>
      </c>
      <c r="G23" s="688">
        <f>VLOOKUP(L23,'Function-Grant'!$C:$AP,4,'Function-Grant'!$C:$AP)</f>
        <v>888</v>
      </c>
      <c r="H23" s="273" t="s">
        <v>311</v>
      </c>
      <c r="J23" s="278" t="s">
        <v>259</v>
      </c>
      <c r="K23" s="689" t="str">
        <f t="shared" si="3"/>
        <v>1000</v>
      </c>
      <c r="L23" s="689">
        <v>6211</v>
      </c>
      <c r="M23" s="689" t="str">
        <f t="shared" si="0"/>
        <v>000</v>
      </c>
      <c r="N23" s="278" t="s">
        <v>337</v>
      </c>
    </row>
    <row r="24" spans="1:14" x14ac:dyDescent="0.2">
      <c r="A24" s="272" t="s">
        <v>249</v>
      </c>
      <c r="B24" s="272" t="s">
        <v>310</v>
      </c>
      <c r="C24" s="272" t="s">
        <v>311</v>
      </c>
      <c r="D24" s="687" t="str">
        <f t="shared" si="4"/>
        <v>100-100-1000-6231-000-32-01</v>
      </c>
      <c r="E24" s="272" t="s">
        <v>312</v>
      </c>
      <c r="F24" s="687">
        <f t="shared" si="2"/>
        <v>16689.991162499999</v>
      </c>
      <c r="G24" s="688">
        <f>VLOOKUP(L24,'Function-Grant'!$C:$AP,4,'Function-Grant'!$C:$AP)</f>
        <v>16689.991162499999</v>
      </c>
      <c r="H24" s="273" t="s">
        <v>311</v>
      </c>
      <c r="J24" s="278" t="s">
        <v>259</v>
      </c>
      <c r="K24" s="689" t="str">
        <f t="shared" si="3"/>
        <v>1000</v>
      </c>
      <c r="L24" s="689">
        <v>6231</v>
      </c>
      <c r="M24" s="689" t="str">
        <f t="shared" si="0"/>
        <v>000</v>
      </c>
      <c r="N24" s="278" t="s">
        <v>337</v>
      </c>
    </row>
    <row r="25" spans="1:14" x14ac:dyDescent="0.2">
      <c r="A25" s="272" t="s">
        <v>249</v>
      </c>
      <c r="B25" s="272" t="s">
        <v>310</v>
      </c>
      <c r="C25" s="272" t="s">
        <v>311</v>
      </c>
      <c r="D25" s="687" t="str">
        <f t="shared" si="4"/>
        <v>100-100-1000-6241-000-32-01</v>
      </c>
      <c r="E25" s="272" t="s">
        <v>312</v>
      </c>
      <c r="F25" s="687">
        <f t="shared" si="2"/>
        <v>1691.3171924999999</v>
      </c>
      <c r="G25" s="688">
        <f>VLOOKUP(L25,'Function-Grant'!$C:$AP,4,'Function-Grant'!$C:$AP)</f>
        <v>1691.3171924999999</v>
      </c>
      <c r="H25" s="273" t="s">
        <v>311</v>
      </c>
      <c r="J25" s="278" t="s">
        <v>259</v>
      </c>
      <c r="K25" s="689" t="str">
        <f t="shared" si="3"/>
        <v>1000</v>
      </c>
      <c r="L25" s="689">
        <v>6241</v>
      </c>
      <c r="M25" s="689" t="str">
        <f t="shared" si="0"/>
        <v>000</v>
      </c>
      <c r="N25" s="278" t="s">
        <v>337</v>
      </c>
    </row>
    <row r="26" spans="1:14" x14ac:dyDescent="0.2">
      <c r="A26" s="272" t="s">
        <v>249</v>
      </c>
      <c r="B26" s="272" t="s">
        <v>310</v>
      </c>
      <c r="C26" s="272" t="s">
        <v>311</v>
      </c>
      <c r="D26" s="687" t="str">
        <f t="shared" si="4"/>
        <v>100-100-1000-6261-000-32-01</v>
      </c>
      <c r="E26" s="272" t="s">
        <v>312</v>
      </c>
      <c r="F26" s="687">
        <f t="shared" si="2"/>
        <v>936</v>
      </c>
      <c r="G26" s="688">
        <f>VLOOKUP(L26,'Function-Grant'!$C:$AP,4,'Function-Grant'!$C:$AP)</f>
        <v>936</v>
      </c>
      <c r="H26" s="273" t="s">
        <v>311</v>
      </c>
      <c r="J26" s="278" t="s">
        <v>259</v>
      </c>
      <c r="K26" s="689" t="str">
        <f t="shared" si="3"/>
        <v>1000</v>
      </c>
      <c r="L26" s="689">
        <v>6261</v>
      </c>
      <c r="M26" s="689" t="str">
        <f t="shared" si="0"/>
        <v>000</v>
      </c>
      <c r="N26" s="278" t="s">
        <v>337</v>
      </c>
    </row>
    <row r="27" spans="1:14" x14ac:dyDescent="0.2">
      <c r="A27" s="272" t="s">
        <v>249</v>
      </c>
      <c r="B27" s="272" t="s">
        <v>310</v>
      </c>
      <c r="C27" s="272" t="s">
        <v>311</v>
      </c>
      <c r="D27" s="687" t="str">
        <f t="shared" si="4"/>
        <v>100-100-1000-6271-000-32-01</v>
      </c>
      <c r="E27" s="272" t="s">
        <v>312</v>
      </c>
      <c r="F27" s="687">
        <f t="shared" si="2"/>
        <v>758.17667249999988</v>
      </c>
      <c r="G27" s="688">
        <f>VLOOKUP(L27,'Function-Grant'!$C:$AP,4,'Function-Grant'!$C:$AP)</f>
        <v>758.17667249999988</v>
      </c>
      <c r="H27" s="273" t="s">
        <v>311</v>
      </c>
      <c r="J27" s="278" t="s">
        <v>259</v>
      </c>
      <c r="K27" s="689" t="str">
        <f t="shared" si="3"/>
        <v>1000</v>
      </c>
      <c r="L27" s="689">
        <v>6271</v>
      </c>
      <c r="M27" s="689" t="str">
        <f t="shared" si="0"/>
        <v>000</v>
      </c>
      <c r="N27" s="278" t="s">
        <v>337</v>
      </c>
    </row>
    <row r="28" spans="1:14" x14ac:dyDescent="0.2">
      <c r="A28" s="272" t="s">
        <v>249</v>
      </c>
      <c r="B28" s="272" t="s">
        <v>310</v>
      </c>
      <c r="C28" s="272" t="s">
        <v>311</v>
      </c>
      <c r="D28" s="687" t="str">
        <f t="shared" si="4"/>
        <v>100-100-1000-6281-000-32-01</v>
      </c>
      <c r="E28" s="272" t="s">
        <v>312</v>
      </c>
      <c r="F28" s="687">
        <f t="shared" si="2"/>
        <v>9720</v>
      </c>
      <c r="G28" s="688">
        <f>VLOOKUP(L28,'Function-Grant'!$C:$AP,4,'Function-Grant'!$C:$AP)</f>
        <v>9720</v>
      </c>
      <c r="H28" s="273" t="s">
        <v>311</v>
      </c>
      <c r="J28" s="278" t="s">
        <v>259</v>
      </c>
      <c r="K28" s="689" t="str">
        <f t="shared" si="3"/>
        <v>1000</v>
      </c>
      <c r="L28" s="689">
        <v>6281</v>
      </c>
      <c r="M28" s="689" t="str">
        <f t="shared" si="0"/>
        <v>000</v>
      </c>
      <c r="N28" s="278" t="s">
        <v>337</v>
      </c>
    </row>
    <row r="29" spans="1:14" x14ac:dyDescent="0.2">
      <c r="A29" s="272" t="s">
        <v>249</v>
      </c>
      <c r="B29" s="272" t="s">
        <v>310</v>
      </c>
      <c r="C29" s="272" t="s">
        <v>311</v>
      </c>
      <c r="D29" s="687" t="str">
        <f t="shared" si="4"/>
        <v>100-100-1000-6300-000-32-01</v>
      </c>
      <c r="E29" s="272" t="s">
        <v>312</v>
      </c>
      <c r="F29" s="687">
        <f t="shared" si="2"/>
        <v>810</v>
      </c>
      <c r="G29" s="688">
        <f>VLOOKUP(L29,'Function-Grant'!$C:$AP,4,'Function-Grant'!$C:$AP)</f>
        <v>810</v>
      </c>
      <c r="H29" s="273" t="s">
        <v>311</v>
      </c>
      <c r="J29" s="278" t="s">
        <v>259</v>
      </c>
      <c r="K29" s="689" t="str">
        <f t="shared" si="3"/>
        <v>1000</v>
      </c>
      <c r="L29" s="689">
        <v>6300</v>
      </c>
      <c r="M29" s="689" t="str">
        <f t="shared" si="0"/>
        <v>000</v>
      </c>
      <c r="N29" s="278" t="s">
        <v>337</v>
      </c>
    </row>
    <row r="30" spans="1:14" x14ac:dyDescent="0.2">
      <c r="A30" s="272" t="s">
        <v>249</v>
      </c>
      <c r="B30" s="272" t="s">
        <v>310</v>
      </c>
      <c r="C30" s="272" t="s">
        <v>311</v>
      </c>
      <c r="D30" s="687" t="str">
        <f t="shared" si="4"/>
        <v>100-100-1000-6331-000-32-01</v>
      </c>
      <c r="E30" s="272" t="s">
        <v>312</v>
      </c>
      <c r="F30" s="687">
        <f t="shared" si="2"/>
        <v>1000</v>
      </c>
      <c r="G30" s="688">
        <f>VLOOKUP(L30,'Function-Grant'!$C:$AP,4,'Function-Grant'!$C:$AP)</f>
        <v>1000</v>
      </c>
      <c r="H30" s="273" t="s">
        <v>311</v>
      </c>
      <c r="J30" s="278" t="s">
        <v>259</v>
      </c>
      <c r="K30" s="689" t="str">
        <f t="shared" si="3"/>
        <v>1000</v>
      </c>
      <c r="L30" s="689">
        <v>6331</v>
      </c>
      <c r="M30" s="689" t="str">
        <f t="shared" si="0"/>
        <v>000</v>
      </c>
      <c r="N30" s="278" t="s">
        <v>337</v>
      </c>
    </row>
    <row r="31" spans="1:14" x14ac:dyDescent="0.2">
      <c r="A31" s="272" t="s">
        <v>249</v>
      </c>
      <c r="B31" s="272" t="s">
        <v>310</v>
      </c>
      <c r="C31" s="272" t="s">
        <v>311</v>
      </c>
      <c r="D31" s="687" t="str">
        <f t="shared" si="4"/>
        <v>100-100-1000-6441-000-32-01</v>
      </c>
      <c r="E31" s="272" t="s">
        <v>312</v>
      </c>
      <c r="F31" s="687">
        <f t="shared" si="2"/>
        <v>2000</v>
      </c>
      <c r="G31" s="688">
        <f>VLOOKUP(L31,'Function-Grant'!$C:$AP,4,'Function-Grant'!$C:$AP)</f>
        <v>2000</v>
      </c>
      <c r="H31" s="273" t="s">
        <v>311</v>
      </c>
      <c r="J31" s="278" t="s">
        <v>259</v>
      </c>
      <c r="K31" s="689" t="str">
        <f t="shared" si="3"/>
        <v>1000</v>
      </c>
      <c r="L31" s="689">
        <v>6441</v>
      </c>
      <c r="M31" s="689" t="str">
        <f t="shared" si="0"/>
        <v>000</v>
      </c>
      <c r="N31" s="278" t="s">
        <v>337</v>
      </c>
    </row>
    <row r="32" spans="1:14" x14ac:dyDescent="0.2">
      <c r="A32" s="272" t="s">
        <v>249</v>
      </c>
      <c r="B32" s="272" t="s">
        <v>310</v>
      </c>
      <c r="C32" s="272" t="s">
        <v>311</v>
      </c>
      <c r="D32" s="687" t="str">
        <f t="shared" ref="D32" si="5">CONCATENATE("100-100-",K32,"-",L32,"-",M32,"-32-01")</f>
        <v>100-100-1000-6521-000-32-01</v>
      </c>
      <c r="E32" s="272" t="s">
        <v>312</v>
      </c>
      <c r="F32" s="687">
        <f t="shared" ref="F32" si="6">IFERROR(G32,0)</f>
        <v>3800</v>
      </c>
      <c r="G32" s="688">
        <f>VLOOKUP(L32,'Function-Grant'!$C:$AP,4,'Function-Grant'!$C:$AP)</f>
        <v>3800</v>
      </c>
      <c r="H32" s="273" t="s">
        <v>311</v>
      </c>
      <c r="J32" s="278" t="s">
        <v>259</v>
      </c>
      <c r="K32" s="689" t="str">
        <f t="shared" ref="K32" si="7">LEFT(J32,4)</f>
        <v>1000</v>
      </c>
      <c r="L32" s="689">
        <v>6521</v>
      </c>
      <c r="M32" s="689" t="str">
        <f t="shared" ref="M32" si="8">RIGHT(J32,3)</f>
        <v>000</v>
      </c>
      <c r="N32" s="278" t="s">
        <v>337</v>
      </c>
    </row>
    <row r="33" spans="1:14" x14ac:dyDescent="0.2">
      <c r="A33" s="272" t="s">
        <v>249</v>
      </c>
      <c r="B33" s="272" t="s">
        <v>310</v>
      </c>
      <c r="C33" s="272" t="s">
        <v>311</v>
      </c>
      <c r="D33" s="687" t="str">
        <f t="shared" si="4"/>
        <v>100-100-1000-6522-000-32-01</v>
      </c>
      <c r="E33" s="272" t="s">
        <v>312</v>
      </c>
      <c r="F33" s="687">
        <f t="shared" si="2"/>
        <v>0</v>
      </c>
      <c r="G33" s="688">
        <f>VLOOKUP(L33,'Function-Grant'!$C:$AP,4,'Function-Grant'!$C:$AP)</f>
        <v>0</v>
      </c>
      <c r="H33" s="273" t="s">
        <v>311</v>
      </c>
      <c r="J33" s="278" t="s">
        <v>259</v>
      </c>
      <c r="K33" s="689" t="str">
        <f t="shared" si="3"/>
        <v>1000</v>
      </c>
      <c r="L33" s="689">
        <v>6522</v>
      </c>
      <c r="M33" s="689" t="str">
        <f t="shared" si="0"/>
        <v>000</v>
      </c>
      <c r="N33" s="278" t="s">
        <v>337</v>
      </c>
    </row>
    <row r="34" spans="1:14" x14ac:dyDescent="0.2">
      <c r="A34" s="272" t="s">
        <v>249</v>
      </c>
      <c r="B34" s="272" t="s">
        <v>310</v>
      </c>
      <c r="C34" s="272" t="s">
        <v>311</v>
      </c>
      <c r="D34" s="687" t="str">
        <f t="shared" si="4"/>
        <v>100-100-1000-6535-000-32-01</v>
      </c>
      <c r="E34" s="272" t="s">
        <v>312</v>
      </c>
      <c r="F34" s="687">
        <f t="shared" si="2"/>
        <v>1740</v>
      </c>
      <c r="G34" s="688">
        <f>VLOOKUP(L34,'Function-Grant'!$C:$AP,4,'Function-Grant'!$C:$AP)</f>
        <v>1740</v>
      </c>
      <c r="H34" s="273" t="s">
        <v>311</v>
      </c>
      <c r="J34" s="278" t="s">
        <v>259</v>
      </c>
      <c r="K34" s="689" t="str">
        <f t="shared" si="3"/>
        <v>1000</v>
      </c>
      <c r="L34" s="689">
        <v>6535</v>
      </c>
      <c r="M34" s="689" t="str">
        <f t="shared" si="0"/>
        <v>000</v>
      </c>
      <c r="N34" s="278" t="s">
        <v>337</v>
      </c>
    </row>
    <row r="35" spans="1:14" x14ac:dyDescent="0.2">
      <c r="A35" s="272" t="s">
        <v>249</v>
      </c>
      <c r="B35" s="272" t="s">
        <v>310</v>
      </c>
      <c r="C35" s="272" t="s">
        <v>311</v>
      </c>
      <c r="D35" s="687" t="str">
        <f t="shared" si="4"/>
        <v>100-100-1000-6569-000-32-01</v>
      </c>
      <c r="E35" s="272" t="s">
        <v>312</v>
      </c>
      <c r="F35" s="687">
        <f t="shared" si="2"/>
        <v>519500</v>
      </c>
      <c r="G35" s="688">
        <f>VLOOKUP(L35,'Function-Grant'!$C:$AP,4,'Function-Grant'!$C:$AP)</f>
        <v>519500</v>
      </c>
      <c r="H35" s="273" t="s">
        <v>311</v>
      </c>
      <c r="J35" s="278" t="s">
        <v>259</v>
      </c>
      <c r="K35" s="689" t="str">
        <f t="shared" si="3"/>
        <v>1000</v>
      </c>
      <c r="L35" s="689">
        <v>6569</v>
      </c>
      <c r="M35" s="689" t="str">
        <f t="shared" si="0"/>
        <v>000</v>
      </c>
      <c r="N35" s="278" t="s">
        <v>337</v>
      </c>
    </row>
    <row r="36" spans="1:14" x14ac:dyDescent="0.2">
      <c r="A36" s="272" t="s">
        <v>249</v>
      </c>
      <c r="B36" s="272" t="s">
        <v>310</v>
      </c>
      <c r="C36" s="272" t="s">
        <v>311</v>
      </c>
      <c r="D36" s="687" t="str">
        <f t="shared" si="4"/>
        <v>100-100-1000-6569-390-32-01</v>
      </c>
      <c r="E36" s="272" t="s">
        <v>312</v>
      </c>
      <c r="F36" s="687">
        <f t="shared" si="2"/>
        <v>0</v>
      </c>
      <c r="G36" s="688">
        <f>VLOOKUP(L36,'Function-Grant'!$C:$AP,24,'Function-Grant'!$C:$AP)</f>
        <v>0</v>
      </c>
      <c r="H36" s="273" t="s">
        <v>311</v>
      </c>
      <c r="J36" s="278" t="s">
        <v>568</v>
      </c>
      <c r="K36" s="689" t="str">
        <f t="shared" si="3"/>
        <v>1000</v>
      </c>
      <c r="L36" s="689">
        <v>6569</v>
      </c>
      <c r="M36" s="689" t="str">
        <f t="shared" si="0"/>
        <v>390</v>
      </c>
      <c r="N36" s="278" t="s">
        <v>337</v>
      </c>
    </row>
    <row r="37" spans="1:14" x14ac:dyDescent="0.2">
      <c r="A37" s="272" t="s">
        <v>249</v>
      </c>
      <c r="B37" s="272" t="s">
        <v>310</v>
      </c>
      <c r="C37" s="272" t="s">
        <v>311</v>
      </c>
      <c r="D37" s="687" t="str">
        <f t="shared" si="4"/>
        <v>100-100-1000-6610-000-32-01</v>
      </c>
      <c r="E37" s="272" t="s">
        <v>312</v>
      </c>
      <c r="F37" s="687">
        <f t="shared" si="2"/>
        <v>1200</v>
      </c>
      <c r="G37" s="688">
        <f>VLOOKUP(L37,'Function-Grant'!$C:$AP,4,'Function-Grant'!$C:$AP)</f>
        <v>1200</v>
      </c>
      <c r="H37" s="273" t="s">
        <v>311</v>
      </c>
      <c r="J37" s="278" t="s">
        <v>259</v>
      </c>
      <c r="K37" s="689" t="str">
        <f t="shared" si="3"/>
        <v>1000</v>
      </c>
      <c r="L37" s="689">
        <v>6610</v>
      </c>
      <c r="M37" s="689" t="str">
        <f t="shared" si="0"/>
        <v>000</v>
      </c>
      <c r="N37" s="278" t="s">
        <v>337</v>
      </c>
    </row>
    <row r="38" spans="1:14" x14ac:dyDescent="0.2">
      <c r="A38" s="272" t="s">
        <v>249</v>
      </c>
      <c r="B38" s="272" t="s">
        <v>310</v>
      </c>
      <c r="C38" s="272" t="s">
        <v>311</v>
      </c>
      <c r="D38" s="687" t="str">
        <f t="shared" si="4"/>
        <v>100-100-1000-6610-325-32-01</v>
      </c>
      <c r="E38" s="272" t="s">
        <v>312</v>
      </c>
      <c r="F38" s="687">
        <f t="shared" si="2"/>
        <v>384</v>
      </c>
      <c r="G38" s="688">
        <f>VLOOKUP(L38,'Function-Grant'!$C:$AP,25,'Function-Grant'!$C:$AP)</f>
        <v>384</v>
      </c>
      <c r="H38" s="273" t="s">
        <v>311</v>
      </c>
      <c r="J38" s="278" t="s">
        <v>278</v>
      </c>
      <c r="K38" s="689" t="str">
        <f t="shared" si="3"/>
        <v>1000</v>
      </c>
      <c r="L38" s="689">
        <v>6610</v>
      </c>
      <c r="M38" s="689" t="str">
        <f t="shared" si="0"/>
        <v>325</v>
      </c>
      <c r="N38" s="278" t="s">
        <v>337</v>
      </c>
    </row>
    <row r="39" spans="1:14" x14ac:dyDescent="0.2">
      <c r="A39" s="272" t="s">
        <v>249</v>
      </c>
      <c r="B39" s="272" t="s">
        <v>310</v>
      </c>
      <c r="C39" s="272" t="s">
        <v>311</v>
      </c>
      <c r="D39" s="687" t="str">
        <f t="shared" si="4"/>
        <v>100-100-1000-6641-000-32-01</v>
      </c>
      <c r="E39" s="272" t="s">
        <v>312</v>
      </c>
      <c r="F39" s="687">
        <f t="shared" si="2"/>
        <v>48050</v>
      </c>
      <c r="G39" s="688">
        <f>VLOOKUP(L39,'Function-Grant'!$C:$AP,4,'Function-Grant'!$C:$AP)</f>
        <v>48050</v>
      </c>
      <c r="H39" s="273" t="s">
        <v>311</v>
      </c>
      <c r="J39" s="278" t="s">
        <v>259</v>
      </c>
      <c r="K39" s="689" t="str">
        <f t="shared" si="3"/>
        <v>1000</v>
      </c>
      <c r="L39" s="689">
        <v>6641</v>
      </c>
      <c r="M39" s="689" t="str">
        <f t="shared" si="0"/>
        <v>000</v>
      </c>
      <c r="N39" s="278" t="s">
        <v>337</v>
      </c>
    </row>
    <row r="40" spans="1:14" x14ac:dyDescent="0.2">
      <c r="A40" s="272" t="s">
        <v>249</v>
      </c>
      <c r="B40" s="272" t="s">
        <v>310</v>
      </c>
      <c r="C40" s="272" t="s">
        <v>311</v>
      </c>
      <c r="D40" s="687" t="str">
        <f t="shared" si="4"/>
        <v>100-100-1000-6642-000-32-01</v>
      </c>
      <c r="E40" s="272" t="s">
        <v>312</v>
      </c>
      <c r="F40" s="687">
        <f t="shared" si="2"/>
        <v>63450</v>
      </c>
      <c r="G40" s="688">
        <f>VLOOKUP(L40,'Function-Grant'!$C:$AP,4,'Function-Grant'!$C:$AP)</f>
        <v>63450</v>
      </c>
      <c r="H40" s="273" t="s">
        <v>311</v>
      </c>
      <c r="J40" s="278" t="s">
        <v>259</v>
      </c>
      <c r="K40" s="689" t="str">
        <f t="shared" si="3"/>
        <v>1000</v>
      </c>
      <c r="L40" s="689">
        <v>6642</v>
      </c>
      <c r="M40" s="689" t="str">
        <f t="shared" si="0"/>
        <v>000</v>
      </c>
      <c r="N40" s="278" t="s">
        <v>337</v>
      </c>
    </row>
    <row r="41" spans="1:14" x14ac:dyDescent="0.2">
      <c r="A41" s="272" t="s">
        <v>249</v>
      </c>
      <c r="B41" s="272" t="s">
        <v>310</v>
      </c>
      <c r="C41" s="272" t="s">
        <v>311</v>
      </c>
      <c r="D41" s="687" t="str">
        <f t="shared" si="4"/>
        <v>100-100-2000--000-32-01</v>
      </c>
      <c r="H41" s="273" t="s">
        <v>311</v>
      </c>
      <c r="J41" s="278" t="s">
        <v>338</v>
      </c>
      <c r="K41" s="689" t="str">
        <f t="shared" si="3"/>
        <v>2000</v>
      </c>
      <c r="L41" s="689"/>
      <c r="M41" s="689" t="str">
        <f t="shared" si="0"/>
        <v>000</v>
      </c>
      <c r="N41" s="278" t="s">
        <v>336</v>
      </c>
    </row>
    <row r="42" spans="1:14" x14ac:dyDescent="0.2">
      <c r="A42" s="272" t="s">
        <v>249</v>
      </c>
      <c r="B42" s="272" t="s">
        <v>310</v>
      </c>
      <c r="C42" s="272" t="s">
        <v>311</v>
      </c>
      <c r="D42" s="687" t="str">
        <f t="shared" si="4"/>
        <v>100-100-2140-6320-000-32-01</v>
      </c>
      <c r="E42" s="272" t="s">
        <v>312</v>
      </c>
      <c r="F42" s="687">
        <f t="shared" ref="F42" si="9">IFERROR(G42,0)</f>
        <v>0</v>
      </c>
      <c r="G42" s="688">
        <f>VLOOKUP(L42,'Function-Grant'!$C:$AP,8,'Function-Grant'!$C:$AP)</f>
        <v>0</v>
      </c>
      <c r="H42" s="273" t="s">
        <v>311</v>
      </c>
      <c r="J42" s="278" t="s">
        <v>263</v>
      </c>
      <c r="K42" s="689" t="str">
        <f t="shared" si="3"/>
        <v>2140</v>
      </c>
      <c r="L42" s="689">
        <v>6320</v>
      </c>
      <c r="M42" s="689" t="str">
        <f t="shared" si="0"/>
        <v>000</v>
      </c>
      <c r="N42" s="278" t="s">
        <v>337</v>
      </c>
    </row>
    <row r="43" spans="1:14" x14ac:dyDescent="0.2">
      <c r="A43" s="272" t="s">
        <v>249</v>
      </c>
      <c r="B43" s="272" t="s">
        <v>310</v>
      </c>
      <c r="C43" s="272" t="s">
        <v>311</v>
      </c>
      <c r="D43" s="687" t="str">
        <f t="shared" si="4"/>
        <v>100-100-2410--000-32-01</v>
      </c>
      <c r="H43" s="273" t="s">
        <v>311</v>
      </c>
      <c r="J43" s="278" t="s">
        <v>267</v>
      </c>
      <c r="K43" s="689" t="str">
        <f t="shared" si="3"/>
        <v>2410</v>
      </c>
      <c r="L43" s="689"/>
      <c r="M43" s="689" t="str">
        <f t="shared" si="0"/>
        <v>000</v>
      </c>
      <c r="N43" s="278" t="s">
        <v>336</v>
      </c>
    </row>
    <row r="44" spans="1:14" x14ac:dyDescent="0.2">
      <c r="A44" s="272" t="s">
        <v>249</v>
      </c>
      <c r="B44" s="272" t="s">
        <v>310</v>
      </c>
      <c r="C44" s="272" t="s">
        <v>311</v>
      </c>
      <c r="D44" s="687" t="str">
        <f t="shared" si="4"/>
        <v>100-100-2410-6114-000-32-01</v>
      </c>
      <c r="E44" s="272" t="s">
        <v>312</v>
      </c>
      <c r="F44" s="687">
        <f t="shared" ref="F44:F69" si="10">IFERROR(G44,0)</f>
        <v>98381.25</v>
      </c>
      <c r="G44" s="688">
        <f>VLOOKUP(L44,'Function-Grant'!$C:$AP,12,'Function-Grant'!$C:$AP)</f>
        <v>98381.25</v>
      </c>
      <c r="H44" s="273" t="s">
        <v>311</v>
      </c>
      <c r="J44" s="278" t="s">
        <v>267</v>
      </c>
      <c r="K44" s="689" t="str">
        <f t="shared" si="3"/>
        <v>2410</v>
      </c>
      <c r="L44" s="689">
        <v>6114</v>
      </c>
      <c r="M44" s="689" t="str">
        <f t="shared" si="0"/>
        <v>000</v>
      </c>
      <c r="N44" s="278" t="s">
        <v>337</v>
      </c>
    </row>
    <row r="45" spans="1:14" x14ac:dyDescent="0.2">
      <c r="A45" s="272" t="s">
        <v>249</v>
      </c>
      <c r="B45" s="272" t="s">
        <v>310</v>
      </c>
      <c r="C45" s="272" t="s">
        <v>311</v>
      </c>
      <c r="D45" s="687" t="str">
        <f t="shared" si="4"/>
        <v>100-100-2410-6117-000-32-01</v>
      </c>
      <c r="E45" s="272" t="s">
        <v>312</v>
      </c>
      <c r="F45" s="687">
        <f t="shared" si="10"/>
        <v>46081.079999999987</v>
      </c>
      <c r="G45" s="688">
        <f>VLOOKUP(L45,'Function-Grant'!$C:$AP,12,'Function-Grant'!$C:$AP)</f>
        <v>46081.079999999987</v>
      </c>
      <c r="H45" s="273" t="s">
        <v>311</v>
      </c>
      <c r="J45" s="278" t="s">
        <v>267</v>
      </c>
      <c r="K45" s="689" t="str">
        <f t="shared" si="3"/>
        <v>2410</v>
      </c>
      <c r="L45" s="689">
        <v>6117</v>
      </c>
      <c r="M45" s="689" t="str">
        <f t="shared" si="0"/>
        <v>000</v>
      </c>
      <c r="N45" s="278" t="s">
        <v>337</v>
      </c>
    </row>
    <row r="46" spans="1:14" x14ac:dyDescent="0.2">
      <c r="A46" s="272" t="s">
        <v>249</v>
      </c>
      <c r="B46" s="272" t="s">
        <v>310</v>
      </c>
      <c r="C46" s="272" t="s">
        <v>311</v>
      </c>
      <c r="D46" s="687" t="str">
        <f t="shared" si="4"/>
        <v>100-100-2410-6127-000-32-01</v>
      </c>
      <c r="E46" s="272" t="s">
        <v>312</v>
      </c>
      <c r="F46" s="687">
        <f t="shared" si="10"/>
        <v>39520</v>
      </c>
      <c r="G46" s="688">
        <f>VLOOKUP(L46,'Function-Grant'!$C:$AP,12,'Function-Grant'!$C:$AP)</f>
        <v>39520</v>
      </c>
      <c r="H46" s="273" t="s">
        <v>311</v>
      </c>
      <c r="J46" s="278" t="s">
        <v>267</v>
      </c>
      <c r="K46" s="689" t="str">
        <f t="shared" si="3"/>
        <v>2410</v>
      </c>
      <c r="L46" s="689">
        <v>6127</v>
      </c>
      <c r="M46" s="689" t="str">
        <f t="shared" si="0"/>
        <v>000</v>
      </c>
      <c r="N46" s="278" t="s">
        <v>337</v>
      </c>
    </row>
    <row r="47" spans="1:14" x14ac:dyDescent="0.2">
      <c r="A47" s="272" t="s">
        <v>249</v>
      </c>
      <c r="B47" s="272" t="s">
        <v>310</v>
      </c>
      <c r="C47" s="272" t="s">
        <v>311</v>
      </c>
      <c r="D47" s="687" t="str">
        <f t="shared" si="4"/>
        <v>100-100-2410-6151-000-32-01</v>
      </c>
      <c r="E47" s="272" t="s">
        <v>312</v>
      </c>
      <c r="F47" s="687">
        <f t="shared" si="10"/>
        <v>0</v>
      </c>
      <c r="G47" s="688">
        <f>VLOOKUP(L47,'Function-Grant'!$C:$AP,12,'Function-Grant'!$C:$AP)</f>
        <v>0</v>
      </c>
      <c r="H47" s="273" t="s">
        <v>311</v>
      </c>
      <c r="J47" s="278" t="s">
        <v>267</v>
      </c>
      <c r="K47" s="689" t="str">
        <f t="shared" si="3"/>
        <v>2410</v>
      </c>
      <c r="L47" s="689">
        <v>6151</v>
      </c>
      <c r="M47" s="689" t="str">
        <f t="shared" si="0"/>
        <v>000</v>
      </c>
      <c r="N47" s="278" t="s">
        <v>337</v>
      </c>
    </row>
    <row r="48" spans="1:14" x14ac:dyDescent="0.2">
      <c r="A48" s="272" t="s">
        <v>249</v>
      </c>
      <c r="B48" s="272" t="s">
        <v>310</v>
      </c>
      <c r="C48" s="272" t="s">
        <v>311</v>
      </c>
      <c r="D48" s="687" t="str">
        <f t="shared" si="4"/>
        <v>100-100-2410-6154-000-32-01</v>
      </c>
      <c r="E48" s="272" t="s">
        <v>312</v>
      </c>
      <c r="F48" s="687">
        <f t="shared" si="10"/>
        <v>6895</v>
      </c>
      <c r="G48" s="688">
        <f>VLOOKUP(L48,'Function-Grant'!$C:$AP,12,'Function-Grant'!$C:$AP)</f>
        <v>6895</v>
      </c>
      <c r="H48" s="273" t="s">
        <v>311</v>
      </c>
      <c r="J48" s="278" t="s">
        <v>267</v>
      </c>
      <c r="K48" s="689" t="str">
        <f t="shared" si="3"/>
        <v>2410</v>
      </c>
      <c r="L48" s="689">
        <v>6154</v>
      </c>
      <c r="M48" s="689" t="str">
        <f t="shared" si="0"/>
        <v>000</v>
      </c>
      <c r="N48" s="278" t="s">
        <v>337</v>
      </c>
    </row>
    <row r="49" spans="1:14" x14ac:dyDescent="0.2">
      <c r="A49" s="272" t="s">
        <v>249</v>
      </c>
      <c r="B49" s="272" t="s">
        <v>310</v>
      </c>
      <c r="C49" s="272" t="s">
        <v>311</v>
      </c>
      <c r="D49" s="687" t="str">
        <f t="shared" si="4"/>
        <v>100-100-2410-6157-000-32-01</v>
      </c>
      <c r="E49" s="272" t="s">
        <v>312</v>
      </c>
      <c r="F49" s="687">
        <f t="shared" si="10"/>
        <v>3000</v>
      </c>
      <c r="G49" s="688">
        <f>VLOOKUP(L49,'Function-Grant'!$C:$AP,12,'Function-Grant'!$C:$AP)</f>
        <v>3000</v>
      </c>
      <c r="H49" s="273" t="s">
        <v>311</v>
      </c>
      <c r="J49" s="278" t="s">
        <v>267</v>
      </c>
      <c r="K49" s="689" t="str">
        <f t="shared" si="3"/>
        <v>2410</v>
      </c>
      <c r="L49" s="689">
        <v>6157</v>
      </c>
      <c r="M49" s="689" t="str">
        <f t="shared" si="0"/>
        <v>000</v>
      </c>
      <c r="N49" s="278" t="s">
        <v>337</v>
      </c>
    </row>
    <row r="50" spans="1:14" x14ac:dyDescent="0.2">
      <c r="A50" s="272" t="s">
        <v>249</v>
      </c>
      <c r="B50" s="272" t="s">
        <v>310</v>
      </c>
      <c r="C50" s="272" t="s">
        <v>311</v>
      </c>
      <c r="D50" s="687" t="str">
        <f t="shared" si="4"/>
        <v>100-100-2410-6164-000-32-01</v>
      </c>
      <c r="E50" s="272" t="s">
        <v>312</v>
      </c>
      <c r="F50" s="687">
        <f t="shared" si="10"/>
        <v>1000</v>
      </c>
      <c r="G50" s="688">
        <f>VLOOKUP(L50,'Function-Grant'!$C:$AP,12,'Function-Grant'!$C:$AP)</f>
        <v>1000</v>
      </c>
      <c r="H50" s="273" t="s">
        <v>311</v>
      </c>
      <c r="J50" s="278" t="s">
        <v>267</v>
      </c>
      <c r="K50" s="689" t="str">
        <f t="shared" si="3"/>
        <v>2410</v>
      </c>
      <c r="L50" s="689">
        <v>6164</v>
      </c>
      <c r="M50" s="689" t="str">
        <f t="shared" si="0"/>
        <v>000</v>
      </c>
      <c r="N50" s="278" t="s">
        <v>337</v>
      </c>
    </row>
    <row r="51" spans="1:14" x14ac:dyDescent="0.2">
      <c r="A51" s="272" t="s">
        <v>249</v>
      </c>
      <c r="B51" s="272" t="s">
        <v>310</v>
      </c>
      <c r="C51" s="272" t="s">
        <v>311</v>
      </c>
      <c r="D51" s="687" t="str">
        <f t="shared" si="4"/>
        <v>100-100-2410-6167-000-32-01</v>
      </c>
      <c r="E51" s="272" t="s">
        <v>312</v>
      </c>
      <c r="F51" s="687">
        <f t="shared" si="10"/>
        <v>600</v>
      </c>
      <c r="G51" s="688">
        <f>VLOOKUP(L51,'Function-Grant'!$C:$AP,12,'Function-Grant'!$C:$AP)</f>
        <v>600</v>
      </c>
      <c r="H51" s="273" t="s">
        <v>311</v>
      </c>
      <c r="J51" s="278" t="s">
        <v>267</v>
      </c>
      <c r="K51" s="689" t="str">
        <f t="shared" si="3"/>
        <v>2410</v>
      </c>
      <c r="L51" s="689">
        <v>6167</v>
      </c>
      <c r="M51" s="689" t="str">
        <f t="shared" si="0"/>
        <v>000</v>
      </c>
      <c r="N51" s="278" t="s">
        <v>337</v>
      </c>
    </row>
    <row r="52" spans="1:14" x14ac:dyDescent="0.2">
      <c r="A52" s="272" t="s">
        <v>249</v>
      </c>
      <c r="B52" s="272" t="s">
        <v>310</v>
      </c>
      <c r="C52" s="272" t="s">
        <v>311</v>
      </c>
      <c r="D52" s="687" t="str">
        <f t="shared" si="4"/>
        <v>100-100-2410-6214-000-32-01</v>
      </c>
      <c r="E52" s="272" t="s">
        <v>312</v>
      </c>
      <c r="F52" s="687">
        <f t="shared" si="10"/>
        <v>444</v>
      </c>
      <c r="G52" s="688">
        <f>VLOOKUP(L52,'Function-Grant'!$C:$AP,12,'Function-Grant'!$C:$AP)</f>
        <v>444</v>
      </c>
      <c r="H52" s="273" t="s">
        <v>311</v>
      </c>
      <c r="J52" s="278" t="s">
        <v>267</v>
      </c>
      <c r="K52" s="689" t="str">
        <f t="shared" si="3"/>
        <v>2410</v>
      </c>
      <c r="L52" s="689">
        <v>6214</v>
      </c>
      <c r="M52" s="689" t="str">
        <f t="shared" si="0"/>
        <v>000</v>
      </c>
      <c r="N52" s="278" t="s">
        <v>337</v>
      </c>
    </row>
    <row r="53" spans="1:14" x14ac:dyDescent="0.2">
      <c r="A53" s="272" t="s">
        <v>249</v>
      </c>
      <c r="B53" s="272" t="s">
        <v>310</v>
      </c>
      <c r="C53" s="272" t="s">
        <v>311</v>
      </c>
      <c r="D53" s="687" t="str">
        <f t="shared" si="4"/>
        <v>100-100-2410-6217-000-32-01</v>
      </c>
      <c r="E53" s="272" t="s">
        <v>312</v>
      </c>
      <c r="F53" s="687">
        <f t="shared" si="10"/>
        <v>444</v>
      </c>
      <c r="G53" s="688">
        <f>VLOOKUP(L53,'Function-Grant'!$C:$AP,12,'Function-Grant'!$C:$AP)</f>
        <v>444</v>
      </c>
      <c r="H53" s="273" t="s">
        <v>311</v>
      </c>
      <c r="J53" s="278" t="s">
        <v>267</v>
      </c>
      <c r="K53" s="689" t="str">
        <f t="shared" si="3"/>
        <v>2410</v>
      </c>
      <c r="L53" s="689">
        <v>6217</v>
      </c>
      <c r="M53" s="689" t="str">
        <f t="shared" si="0"/>
        <v>000</v>
      </c>
      <c r="N53" s="278" t="s">
        <v>337</v>
      </c>
    </row>
    <row r="54" spans="1:14" x14ac:dyDescent="0.2">
      <c r="A54" s="272" t="s">
        <v>249</v>
      </c>
      <c r="B54" s="272" t="s">
        <v>310</v>
      </c>
      <c r="C54" s="272" t="s">
        <v>311</v>
      </c>
      <c r="D54" s="687" t="str">
        <f t="shared" si="4"/>
        <v>100-100-2410-6227-000-32-01</v>
      </c>
      <c r="E54" s="272" t="s">
        <v>312</v>
      </c>
      <c r="F54" s="687">
        <f t="shared" si="10"/>
        <v>2450.2400000000002</v>
      </c>
      <c r="G54" s="688">
        <f>VLOOKUP(L54,'Function-Grant'!$C:$AP,12,'Function-Grant'!$C:$AP)</f>
        <v>2450.2400000000002</v>
      </c>
      <c r="H54" s="273" t="s">
        <v>311</v>
      </c>
      <c r="J54" s="278" t="s">
        <v>267</v>
      </c>
      <c r="K54" s="689" t="str">
        <f t="shared" si="3"/>
        <v>2410</v>
      </c>
      <c r="L54" s="689">
        <v>6227</v>
      </c>
      <c r="M54" s="689" t="str">
        <f t="shared" si="0"/>
        <v>000</v>
      </c>
      <c r="N54" s="278" t="s">
        <v>337</v>
      </c>
    </row>
    <row r="55" spans="1:14" x14ac:dyDescent="0.2">
      <c r="A55" s="272" t="s">
        <v>249</v>
      </c>
      <c r="B55" s="272" t="s">
        <v>310</v>
      </c>
      <c r="C55" s="272" t="s">
        <v>311</v>
      </c>
      <c r="D55" s="687" t="str">
        <f t="shared" si="4"/>
        <v>100-100-2410-6234-000-32-01</v>
      </c>
      <c r="E55" s="272" t="s">
        <v>312</v>
      </c>
      <c r="F55" s="687">
        <f t="shared" si="10"/>
        <v>28776.515625</v>
      </c>
      <c r="G55" s="688">
        <f>VLOOKUP(L55,'Function-Grant'!$C:$AP,12,'Function-Grant'!$C:$AP)</f>
        <v>28776.515625</v>
      </c>
      <c r="H55" s="273" t="s">
        <v>311</v>
      </c>
      <c r="J55" s="278" t="s">
        <v>267</v>
      </c>
      <c r="K55" s="689" t="str">
        <f t="shared" si="3"/>
        <v>2410</v>
      </c>
      <c r="L55" s="689">
        <v>6234</v>
      </c>
      <c r="M55" s="689" t="str">
        <f t="shared" si="0"/>
        <v>000</v>
      </c>
      <c r="N55" s="278" t="s">
        <v>337</v>
      </c>
    </row>
    <row r="56" spans="1:14" x14ac:dyDescent="0.2">
      <c r="A56" s="272" t="s">
        <v>249</v>
      </c>
      <c r="B56" s="272" t="s">
        <v>310</v>
      </c>
      <c r="C56" s="272" t="s">
        <v>311</v>
      </c>
      <c r="D56" s="687" t="str">
        <f t="shared" si="4"/>
        <v>100-100-2410-6237-000-32-01</v>
      </c>
      <c r="E56" s="272" t="s">
        <v>312</v>
      </c>
      <c r="F56" s="687">
        <f t="shared" si="10"/>
        <v>7027.364700000001</v>
      </c>
      <c r="G56" s="688">
        <f>VLOOKUP(L56,'Function-Grant'!$C:$AP,12,'Function-Grant'!$C:$AP)</f>
        <v>7027.364700000001</v>
      </c>
      <c r="H56" s="273" t="s">
        <v>311</v>
      </c>
      <c r="J56" s="278" t="s">
        <v>267</v>
      </c>
      <c r="K56" s="689" t="str">
        <f t="shared" si="3"/>
        <v>2410</v>
      </c>
      <c r="L56" s="689">
        <v>6237</v>
      </c>
      <c r="M56" s="689" t="str">
        <f t="shared" si="0"/>
        <v>000</v>
      </c>
      <c r="N56" s="278" t="s">
        <v>337</v>
      </c>
    </row>
    <row r="57" spans="1:14" x14ac:dyDescent="0.2">
      <c r="A57" s="272" t="s">
        <v>249</v>
      </c>
      <c r="B57" s="272" t="s">
        <v>310</v>
      </c>
      <c r="C57" s="272" t="s">
        <v>311</v>
      </c>
      <c r="D57" s="687" t="str">
        <f t="shared" si="4"/>
        <v>100-100-2410-6244-000-32-01</v>
      </c>
      <c r="E57" s="272" t="s">
        <v>312</v>
      </c>
      <c r="F57" s="687">
        <f t="shared" si="10"/>
        <v>1541.005625</v>
      </c>
      <c r="G57" s="688">
        <f>VLOOKUP(L57,'Function-Grant'!$C:$AP,12,'Function-Grant'!$C:$AP)</f>
        <v>1541.005625</v>
      </c>
      <c r="H57" s="273" t="s">
        <v>311</v>
      </c>
      <c r="J57" s="278" t="s">
        <v>267</v>
      </c>
      <c r="K57" s="689" t="str">
        <f t="shared" si="3"/>
        <v>2410</v>
      </c>
      <c r="L57" s="689">
        <v>6244</v>
      </c>
      <c r="M57" s="689" t="str">
        <f t="shared" si="0"/>
        <v>000</v>
      </c>
      <c r="N57" s="278" t="s">
        <v>337</v>
      </c>
    </row>
    <row r="58" spans="1:14" x14ac:dyDescent="0.2">
      <c r="A58" s="272" t="s">
        <v>249</v>
      </c>
      <c r="B58" s="272" t="s">
        <v>310</v>
      </c>
      <c r="C58" s="272" t="s">
        <v>311</v>
      </c>
      <c r="D58" s="687" t="str">
        <f t="shared" si="4"/>
        <v>100-100-2410-6247-000-32-01</v>
      </c>
      <c r="E58" s="272" t="s">
        <v>312</v>
      </c>
      <c r="F58" s="687">
        <f t="shared" si="10"/>
        <v>1293.4156600000003</v>
      </c>
      <c r="G58" s="688">
        <f>VLOOKUP(L58,'Function-Grant'!$C:$AP,12,'Function-Grant'!$C:$AP)</f>
        <v>1293.4156600000003</v>
      </c>
      <c r="H58" s="273" t="s">
        <v>311</v>
      </c>
      <c r="J58" s="278" t="s">
        <v>267</v>
      </c>
      <c r="K58" s="689" t="str">
        <f t="shared" si="3"/>
        <v>2410</v>
      </c>
      <c r="L58" s="689">
        <v>6247</v>
      </c>
      <c r="M58" s="689" t="str">
        <f t="shared" si="0"/>
        <v>000</v>
      </c>
      <c r="N58" s="278" t="s">
        <v>337</v>
      </c>
    </row>
    <row r="59" spans="1:14" x14ac:dyDescent="0.2">
      <c r="A59" s="272" t="s">
        <v>249</v>
      </c>
      <c r="B59" s="272" t="s">
        <v>310</v>
      </c>
      <c r="C59" s="272" t="s">
        <v>311</v>
      </c>
      <c r="D59" s="687" t="str">
        <f t="shared" si="4"/>
        <v>100-100-2410-6264-000-32-01</v>
      </c>
      <c r="E59" s="272" t="s">
        <v>312</v>
      </c>
      <c r="F59" s="687">
        <f t="shared" si="10"/>
        <v>468</v>
      </c>
      <c r="G59" s="688">
        <f>VLOOKUP(L59,'Function-Grant'!$C:$AP,12,'Function-Grant'!$C:$AP)</f>
        <v>468</v>
      </c>
      <c r="H59" s="273" t="s">
        <v>311</v>
      </c>
      <c r="J59" s="278" t="s">
        <v>267</v>
      </c>
      <c r="K59" s="689" t="str">
        <f t="shared" si="3"/>
        <v>2410</v>
      </c>
      <c r="L59" s="689">
        <v>6264</v>
      </c>
      <c r="M59" s="689" t="str">
        <f t="shared" si="0"/>
        <v>000</v>
      </c>
      <c r="N59" s="278" t="s">
        <v>337</v>
      </c>
    </row>
    <row r="60" spans="1:14" x14ac:dyDescent="0.2">
      <c r="A60" s="272" t="s">
        <v>249</v>
      </c>
      <c r="B60" s="272" t="s">
        <v>310</v>
      </c>
      <c r="C60" s="272" t="s">
        <v>311</v>
      </c>
      <c r="D60" s="687" t="str">
        <f t="shared" si="4"/>
        <v>100-100-2410-6267-000-32-01</v>
      </c>
      <c r="E60" s="272" t="s">
        <v>312</v>
      </c>
      <c r="F60" s="687">
        <f t="shared" si="10"/>
        <v>1060.8</v>
      </c>
      <c r="G60" s="688">
        <f>VLOOKUP(L60,'Function-Grant'!$C:$AP,12,'Function-Grant'!$C:$AP)</f>
        <v>1060.8</v>
      </c>
      <c r="H60" s="273" t="s">
        <v>311</v>
      </c>
      <c r="J60" s="278" t="s">
        <v>267</v>
      </c>
      <c r="K60" s="689" t="str">
        <f t="shared" si="3"/>
        <v>2410</v>
      </c>
      <c r="L60" s="689">
        <v>6267</v>
      </c>
      <c r="M60" s="689" t="str">
        <f t="shared" si="0"/>
        <v>000</v>
      </c>
      <c r="N60" s="278" t="s">
        <v>337</v>
      </c>
    </row>
    <row r="61" spans="1:14" x14ac:dyDescent="0.2">
      <c r="A61" s="272" t="s">
        <v>249</v>
      </c>
      <c r="B61" s="272" t="s">
        <v>310</v>
      </c>
      <c r="C61" s="272" t="s">
        <v>311</v>
      </c>
      <c r="D61" s="687" t="str">
        <f t="shared" si="4"/>
        <v>100-100-2410-6274-000-32-01</v>
      </c>
      <c r="E61" s="272" t="s">
        <v>312</v>
      </c>
      <c r="F61" s="687">
        <f t="shared" si="10"/>
        <v>690.79562499999986</v>
      </c>
      <c r="G61" s="688">
        <f>VLOOKUP(L61,'Function-Grant'!$C:$AP,12,'Function-Grant'!$C:$AP)</f>
        <v>690.79562499999986</v>
      </c>
      <c r="H61" s="273" t="s">
        <v>311</v>
      </c>
      <c r="J61" s="278" t="s">
        <v>267</v>
      </c>
      <c r="K61" s="689" t="str">
        <f t="shared" si="3"/>
        <v>2410</v>
      </c>
      <c r="L61" s="689">
        <v>6274</v>
      </c>
      <c r="M61" s="689" t="str">
        <f t="shared" si="0"/>
        <v>000</v>
      </c>
      <c r="N61" s="278" t="s">
        <v>337</v>
      </c>
    </row>
    <row r="62" spans="1:14" x14ac:dyDescent="0.2">
      <c r="A62" s="272" t="s">
        <v>249</v>
      </c>
      <c r="B62" s="272" t="s">
        <v>310</v>
      </c>
      <c r="C62" s="272" t="s">
        <v>311</v>
      </c>
      <c r="D62" s="687" t="str">
        <f t="shared" si="4"/>
        <v>100-100-2410-6277-000-32-01</v>
      </c>
      <c r="E62" s="272" t="s">
        <v>312</v>
      </c>
      <c r="F62" s="687">
        <f t="shared" si="10"/>
        <v>579.80701999999985</v>
      </c>
      <c r="G62" s="688">
        <f>VLOOKUP(L62,'Function-Grant'!$C:$AP,12,'Function-Grant'!$C:$AP)</f>
        <v>579.80701999999985</v>
      </c>
      <c r="H62" s="273" t="s">
        <v>311</v>
      </c>
      <c r="J62" s="278" t="s">
        <v>267</v>
      </c>
      <c r="K62" s="689" t="str">
        <f t="shared" si="3"/>
        <v>2410</v>
      </c>
      <c r="L62" s="689">
        <v>6277</v>
      </c>
      <c r="M62" s="689" t="str">
        <f t="shared" si="0"/>
        <v>000</v>
      </c>
      <c r="N62" s="278" t="s">
        <v>337</v>
      </c>
    </row>
    <row r="63" spans="1:14" x14ac:dyDescent="0.2">
      <c r="A63" s="272" t="s">
        <v>249</v>
      </c>
      <c r="B63" s="272" t="s">
        <v>310</v>
      </c>
      <c r="C63" s="272" t="s">
        <v>311</v>
      </c>
      <c r="D63" s="687" t="str">
        <f t="shared" si="4"/>
        <v>100-100-2410-6284-000-32-01</v>
      </c>
      <c r="E63" s="272" t="s">
        <v>312</v>
      </c>
      <c r="F63" s="687">
        <f t="shared" si="10"/>
        <v>4860</v>
      </c>
      <c r="G63" s="688">
        <f>VLOOKUP(L63,'Function-Grant'!$C:$AP,12,'Function-Grant'!$C:$AP)</f>
        <v>4860</v>
      </c>
      <c r="H63" s="273" t="s">
        <v>311</v>
      </c>
      <c r="J63" s="278" t="s">
        <v>267</v>
      </c>
      <c r="K63" s="689" t="str">
        <f t="shared" si="3"/>
        <v>2410</v>
      </c>
      <c r="L63" s="689">
        <v>6284</v>
      </c>
      <c r="M63" s="689" t="str">
        <f t="shared" si="0"/>
        <v>000</v>
      </c>
      <c r="N63" s="278" t="s">
        <v>337</v>
      </c>
    </row>
    <row r="64" spans="1:14" x14ac:dyDescent="0.2">
      <c r="A64" s="272" t="s">
        <v>249</v>
      </c>
      <c r="B64" s="272" t="s">
        <v>310</v>
      </c>
      <c r="C64" s="272" t="s">
        <v>311</v>
      </c>
      <c r="D64" s="687" t="str">
        <f t="shared" si="4"/>
        <v>100-100-2410-6287-000-32-01</v>
      </c>
      <c r="E64" s="272" t="s">
        <v>312</v>
      </c>
      <c r="F64" s="687">
        <f t="shared" si="10"/>
        <v>4860</v>
      </c>
      <c r="G64" s="688">
        <f>VLOOKUP(L64,'Function-Grant'!$C:$AP,12,'Function-Grant'!$C:$AP)</f>
        <v>4860</v>
      </c>
      <c r="H64" s="273" t="s">
        <v>311</v>
      </c>
      <c r="J64" s="278" t="s">
        <v>267</v>
      </c>
      <c r="K64" s="689" t="str">
        <f t="shared" si="3"/>
        <v>2410</v>
      </c>
      <c r="L64" s="689">
        <v>6287</v>
      </c>
      <c r="M64" s="689" t="str">
        <f t="shared" si="0"/>
        <v>000</v>
      </c>
      <c r="N64" s="278" t="s">
        <v>337</v>
      </c>
    </row>
    <row r="65" spans="1:14" x14ac:dyDescent="0.2">
      <c r="A65" s="272" t="s">
        <v>249</v>
      </c>
      <c r="B65" s="272" t="s">
        <v>310</v>
      </c>
      <c r="C65" s="272" t="s">
        <v>311</v>
      </c>
      <c r="D65" s="687" t="str">
        <f t="shared" ref="D65" si="11">CONCATENATE("100-100-",K65,"-",L65,"-",M65,"-32-01")</f>
        <v>100-100-2410-6320-000-32-01</v>
      </c>
      <c r="E65" s="272" t="s">
        <v>312</v>
      </c>
      <c r="F65" s="687">
        <f t="shared" ref="F65" si="12">IFERROR(G65,0)</f>
        <v>2500</v>
      </c>
      <c r="G65" s="688">
        <f>VLOOKUP(L65,'Function-Grant'!$C:$AP,12,'Function-Grant'!$C:$AP)</f>
        <v>2500</v>
      </c>
      <c r="H65" s="273" t="s">
        <v>311</v>
      </c>
      <c r="J65" s="278" t="s">
        <v>267</v>
      </c>
      <c r="K65" s="689" t="str">
        <f t="shared" ref="K65" si="13">LEFT(J65,4)</f>
        <v>2410</v>
      </c>
      <c r="L65" s="689">
        <v>6320</v>
      </c>
      <c r="M65" s="689" t="str">
        <f t="shared" ref="M65" si="14">RIGHT(J65,3)</f>
        <v>000</v>
      </c>
      <c r="N65" s="278" t="s">
        <v>337</v>
      </c>
    </row>
    <row r="66" spans="1:14" x14ac:dyDescent="0.2">
      <c r="A66" s="272" t="s">
        <v>249</v>
      </c>
      <c r="B66" s="272" t="s">
        <v>310</v>
      </c>
      <c r="C66" s="272" t="s">
        <v>311</v>
      </c>
      <c r="D66" s="687" t="str">
        <f t="shared" si="4"/>
        <v>100-100-2410-6334-000-32-01</v>
      </c>
      <c r="E66" s="272" t="s">
        <v>312</v>
      </c>
      <c r="F66" s="687">
        <f t="shared" si="10"/>
        <v>750</v>
      </c>
      <c r="G66" s="688">
        <f>VLOOKUP(L66,'Function-Grant'!$C:$AP,12,'Function-Grant'!$C:$AP)</f>
        <v>750</v>
      </c>
      <c r="H66" s="273" t="s">
        <v>311</v>
      </c>
      <c r="J66" s="278" t="s">
        <v>267</v>
      </c>
      <c r="K66" s="689" t="str">
        <f t="shared" si="3"/>
        <v>2410</v>
      </c>
      <c r="L66" s="689">
        <v>6334</v>
      </c>
      <c r="M66" s="689" t="str">
        <f t="shared" si="0"/>
        <v>000</v>
      </c>
      <c r="N66" s="278" t="s">
        <v>337</v>
      </c>
    </row>
    <row r="67" spans="1:14" x14ac:dyDescent="0.2">
      <c r="A67" s="272" t="s">
        <v>249</v>
      </c>
      <c r="B67" s="272" t="s">
        <v>310</v>
      </c>
      <c r="C67" s="272" t="s">
        <v>311</v>
      </c>
      <c r="D67" s="687" t="str">
        <f t="shared" si="4"/>
        <v>100-100-2410-6336-000-32-01</v>
      </c>
      <c r="E67" s="272" t="s">
        <v>312</v>
      </c>
      <c r="F67" s="687">
        <f t="shared" si="10"/>
        <v>0</v>
      </c>
      <c r="G67" s="688">
        <f>VLOOKUP(L67,'Function-Grant'!$C:$AP,12,'Function-Grant'!$C:$AP)</f>
        <v>0</v>
      </c>
      <c r="H67" s="273" t="s">
        <v>311</v>
      </c>
      <c r="J67" s="278" t="s">
        <v>267</v>
      </c>
      <c r="K67" s="689" t="str">
        <f t="shared" si="3"/>
        <v>2410</v>
      </c>
      <c r="L67" s="689">
        <v>6336</v>
      </c>
      <c r="M67" s="689" t="str">
        <f t="shared" si="0"/>
        <v>000</v>
      </c>
      <c r="N67" s="278" t="s">
        <v>337</v>
      </c>
    </row>
    <row r="68" spans="1:14" x14ac:dyDescent="0.2">
      <c r="A68" s="272" t="s">
        <v>249</v>
      </c>
      <c r="B68" s="272" t="s">
        <v>310</v>
      </c>
      <c r="C68" s="272" t="s">
        <v>311</v>
      </c>
      <c r="D68" s="687" t="str">
        <f t="shared" si="4"/>
        <v>100-100-2410-6337-000-32-01</v>
      </c>
      <c r="E68" s="272" t="s">
        <v>312</v>
      </c>
      <c r="F68" s="687">
        <f t="shared" si="10"/>
        <v>500</v>
      </c>
      <c r="G68" s="688">
        <f>VLOOKUP(L68,'Function-Grant'!$C:$AP,12,'Function-Grant'!$C:$AP)</f>
        <v>500</v>
      </c>
      <c r="H68" s="273" t="s">
        <v>311</v>
      </c>
      <c r="J68" s="278" t="s">
        <v>267</v>
      </c>
      <c r="K68" s="689" t="str">
        <f t="shared" si="3"/>
        <v>2410</v>
      </c>
      <c r="L68" s="689">
        <v>6337</v>
      </c>
      <c r="M68" s="689" t="str">
        <f t="shared" si="0"/>
        <v>000</v>
      </c>
      <c r="N68" s="278" t="s">
        <v>337</v>
      </c>
    </row>
    <row r="69" spans="1:14" x14ac:dyDescent="0.2">
      <c r="A69" s="272" t="s">
        <v>249</v>
      </c>
      <c r="B69" s="272" t="s">
        <v>310</v>
      </c>
      <c r="C69" s="272" t="s">
        <v>311</v>
      </c>
      <c r="D69" s="687" t="str">
        <f t="shared" si="4"/>
        <v>100-100-2410-6610-000-32-01</v>
      </c>
      <c r="E69" s="272" t="s">
        <v>312</v>
      </c>
      <c r="F69" s="687">
        <f t="shared" si="10"/>
        <v>1200</v>
      </c>
      <c r="G69" s="688">
        <f>VLOOKUP(L69,'Function-Grant'!$C:$AP,12,'Function-Grant'!$C:$AP)</f>
        <v>1200</v>
      </c>
      <c r="H69" s="273" t="s">
        <v>311</v>
      </c>
      <c r="J69" s="278" t="s">
        <v>267</v>
      </c>
      <c r="K69" s="689" t="str">
        <f t="shared" si="3"/>
        <v>2410</v>
      </c>
      <c r="L69" s="689">
        <v>6610</v>
      </c>
      <c r="M69" s="689" t="str">
        <f t="shared" si="0"/>
        <v>000</v>
      </c>
      <c r="N69" s="278" t="s">
        <v>337</v>
      </c>
    </row>
    <row r="70" spans="1:14" x14ac:dyDescent="0.2">
      <c r="A70" s="272" t="s">
        <v>249</v>
      </c>
      <c r="B70" s="272" t="s">
        <v>310</v>
      </c>
      <c r="C70" s="272" t="s">
        <v>311</v>
      </c>
      <c r="D70" s="687" t="str">
        <f t="shared" si="4"/>
        <v>100-100-2500--000-32-01</v>
      </c>
      <c r="H70" s="273" t="s">
        <v>311</v>
      </c>
      <c r="J70" s="278" t="s">
        <v>268</v>
      </c>
      <c r="K70" s="689" t="str">
        <f t="shared" si="3"/>
        <v>2500</v>
      </c>
      <c r="L70" s="689"/>
      <c r="M70" s="689" t="str">
        <f t="shared" si="0"/>
        <v>000</v>
      </c>
      <c r="N70" s="278" t="s">
        <v>336</v>
      </c>
    </row>
    <row r="71" spans="1:14" x14ac:dyDescent="0.2">
      <c r="A71" s="272" t="s">
        <v>249</v>
      </c>
      <c r="B71" s="272" t="s">
        <v>310</v>
      </c>
      <c r="C71" s="272" t="s">
        <v>311</v>
      </c>
      <c r="D71" s="687" t="str">
        <f t="shared" ref="D71" si="15">CONCATENATE("100-100-",K71,"-",L71,"-",M71,"-32-01")</f>
        <v>100-100-2500-6300-000-32-01</v>
      </c>
      <c r="E71" s="272" t="s">
        <v>312</v>
      </c>
      <c r="F71" s="687">
        <f t="shared" ref="F71" si="16">IFERROR(G71,0)</f>
        <v>1500</v>
      </c>
      <c r="G71" s="688">
        <f>VLOOKUP(L71,'Function-Grant'!$C:$AP,13,'Function-Grant'!$C:$AP)</f>
        <v>1500</v>
      </c>
      <c r="H71" s="273" t="s">
        <v>311</v>
      </c>
      <c r="J71" s="278" t="s">
        <v>268</v>
      </c>
      <c r="K71" s="689" t="str">
        <f t="shared" ref="K71" si="17">LEFT(J71,4)</f>
        <v>2500</v>
      </c>
      <c r="L71" s="689">
        <v>6300</v>
      </c>
      <c r="M71" s="689" t="str">
        <f t="shared" ref="M71" si="18">RIGHT(J71,3)</f>
        <v>000</v>
      </c>
      <c r="N71" s="278" t="s">
        <v>337</v>
      </c>
    </row>
    <row r="72" spans="1:14" x14ac:dyDescent="0.2">
      <c r="A72" s="272" t="s">
        <v>249</v>
      </c>
      <c r="B72" s="272" t="s">
        <v>310</v>
      </c>
      <c r="C72" s="272" t="s">
        <v>311</v>
      </c>
      <c r="D72" s="687" t="str">
        <f t="shared" si="4"/>
        <v>100-100-2500-6531-000-32-01</v>
      </c>
      <c r="E72" s="272" t="s">
        <v>312</v>
      </c>
      <c r="F72" s="687">
        <f t="shared" ref="F72:F74" si="19">IFERROR(G72,0)</f>
        <v>1800</v>
      </c>
      <c r="G72" s="688">
        <f>VLOOKUP(L72,'Function-Grant'!$C:$AP,13,'Function-Grant'!$C:$AP)</f>
        <v>1800</v>
      </c>
      <c r="H72" s="273" t="s">
        <v>311</v>
      </c>
      <c r="J72" s="278" t="s">
        <v>268</v>
      </c>
      <c r="K72" s="689" t="str">
        <f t="shared" si="3"/>
        <v>2500</v>
      </c>
      <c r="L72" s="689">
        <v>6531</v>
      </c>
      <c r="M72" s="689" t="str">
        <f t="shared" ref="M72:M96" si="20">RIGHT(J72,3)</f>
        <v>000</v>
      </c>
      <c r="N72" s="278" t="s">
        <v>337</v>
      </c>
    </row>
    <row r="73" spans="1:14" x14ac:dyDescent="0.2">
      <c r="A73" s="272" t="s">
        <v>249</v>
      </c>
      <c r="B73" s="272" t="s">
        <v>310</v>
      </c>
      <c r="C73" s="272" t="s">
        <v>311</v>
      </c>
      <c r="D73" s="687" t="str">
        <f t="shared" si="4"/>
        <v>100-100-2500-6535-000-32-01</v>
      </c>
      <c r="E73" s="272" t="s">
        <v>312</v>
      </c>
      <c r="F73" s="687">
        <f t="shared" si="19"/>
        <v>0</v>
      </c>
      <c r="G73" s="688">
        <f>VLOOKUP(L73,'Function-Grant'!$C:$AP,13,'Function-Grant'!$C:$AP)</f>
        <v>0</v>
      </c>
      <c r="H73" s="273" t="s">
        <v>311</v>
      </c>
      <c r="J73" s="278" t="s">
        <v>268</v>
      </c>
      <c r="K73" s="689" t="str">
        <f t="shared" ref="K73:K95" si="21">LEFT(J73,4)</f>
        <v>2500</v>
      </c>
      <c r="L73" s="689">
        <v>6535</v>
      </c>
      <c r="M73" s="689" t="str">
        <f t="shared" si="20"/>
        <v>000</v>
      </c>
      <c r="N73" s="278" t="s">
        <v>337</v>
      </c>
    </row>
    <row r="74" spans="1:14" x14ac:dyDescent="0.2">
      <c r="A74" s="272" t="s">
        <v>249</v>
      </c>
      <c r="B74" s="272" t="s">
        <v>310</v>
      </c>
      <c r="C74" s="272" t="s">
        <v>311</v>
      </c>
      <c r="D74" s="687" t="str">
        <f t="shared" si="4"/>
        <v>100-100-2500-6610-000-32-01</v>
      </c>
      <c r="E74" s="272" t="s">
        <v>312</v>
      </c>
      <c r="F74" s="687">
        <f t="shared" si="19"/>
        <v>3600</v>
      </c>
      <c r="G74" s="688">
        <f>VLOOKUP(L74,'Function-Grant'!$C:$AP,13,'Function-Grant'!$C:$AP)</f>
        <v>3600</v>
      </c>
      <c r="H74" s="273" t="s">
        <v>311</v>
      </c>
      <c r="J74" s="278" t="s">
        <v>268</v>
      </c>
      <c r="K74" s="689" t="str">
        <f t="shared" si="21"/>
        <v>2500</v>
      </c>
      <c r="L74" s="689">
        <v>6610</v>
      </c>
      <c r="M74" s="689" t="str">
        <f t="shared" si="20"/>
        <v>000</v>
      </c>
      <c r="N74" s="278" t="s">
        <v>337</v>
      </c>
    </row>
    <row r="75" spans="1:14" x14ac:dyDescent="0.2">
      <c r="A75" s="272" t="s">
        <v>249</v>
      </c>
      <c r="B75" s="272" t="s">
        <v>310</v>
      </c>
      <c r="C75" s="272" t="s">
        <v>311</v>
      </c>
      <c r="D75" s="687" t="str">
        <f t="shared" si="4"/>
        <v>100-100-2510--000-32-01</v>
      </c>
      <c r="H75" s="273" t="s">
        <v>311</v>
      </c>
      <c r="J75" s="278" t="s">
        <v>323</v>
      </c>
      <c r="K75" s="689" t="str">
        <f t="shared" si="21"/>
        <v>2510</v>
      </c>
      <c r="L75" s="689"/>
      <c r="M75" s="689" t="str">
        <f t="shared" si="20"/>
        <v>000</v>
      </c>
      <c r="N75" s="278" t="s">
        <v>336</v>
      </c>
    </row>
    <row r="76" spans="1:14" x14ac:dyDescent="0.2">
      <c r="A76" s="272" t="s">
        <v>249</v>
      </c>
      <c r="B76" s="272" t="s">
        <v>310</v>
      </c>
      <c r="C76" s="272" t="s">
        <v>311</v>
      </c>
      <c r="D76" s="687" t="str">
        <f t="shared" si="4"/>
        <v>100-100-2510-6340-000-32-01</v>
      </c>
      <c r="E76" s="272" t="s">
        <v>312</v>
      </c>
      <c r="F76" s="687">
        <f t="shared" ref="F76:F77" si="22">IFERROR(G76,0)</f>
        <v>29160</v>
      </c>
      <c r="G76" s="688">
        <f>VLOOKUP(L76,'Function-Grant'!$C:$AP,14,'Function-Grant'!$C:$AP)</f>
        <v>29160</v>
      </c>
      <c r="H76" s="273" t="s">
        <v>311</v>
      </c>
      <c r="J76" s="278" t="s">
        <v>323</v>
      </c>
      <c r="K76" s="689" t="str">
        <f t="shared" si="21"/>
        <v>2510</v>
      </c>
      <c r="L76" s="689">
        <v>6340</v>
      </c>
      <c r="M76" s="689" t="str">
        <f t="shared" si="20"/>
        <v>000</v>
      </c>
      <c r="N76" s="278" t="s">
        <v>337</v>
      </c>
    </row>
    <row r="77" spans="1:14" x14ac:dyDescent="0.2">
      <c r="A77" s="272" t="s">
        <v>249</v>
      </c>
      <c r="B77" s="272" t="s">
        <v>310</v>
      </c>
      <c r="C77" s="272" t="s">
        <v>311</v>
      </c>
      <c r="D77" s="687" t="str">
        <f t="shared" si="4"/>
        <v>100-100-2510-6810-000-32-01</v>
      </c>
      <c r="E77" s="272" t="s">
        <v>312</v>
      </c>
      <c r="F77" s="687">
        <f t="shared" si="22"/>
        <v>1710</v>
      </c>
      <c r="G77" s="688">
        <f>VLOOKUP(L77,'Function-Grant'!$C:$AP,14,'Function-Grant'!$C:$AP)</f>
        <v>1710</v>
      </c>
      <c r="H77" s="273" t="s">
        <v>311</v>
      </c>
      <c r="J77" s="278" t="s">
        <v>323</v>
      </c>
      <c r="K77" s="689" t="str">
        <f t="shared" si="21"/>
        <v>2510</v>
      </c>
      <c r="L77" s="689">
        <v>6810</v>
      </c>
      <c r="M77" s="689" t="str">
        <f t="shared" si="20"/>
        <v>000</v>
      </c>
      <c r="N77" s="278" t="s">
        <v>337</v>
      </c>
    </row>
    <row r="78" spans="1:14" x14ac:dyDescent="0.2">
      <c r="A78" s="272" t="s">
        <v>249</v>
      </c>
      <c r="B78" s="272" t="s">
        <v>310</v>
      </c>
      <c r="C78" s="272" t="s">
        <v>311</v>
      </c>
      <c r="D78" s="687" t="str">
        <f t="shared" ref="D78:D79" si="23">CONCATENATE("100-100-",K78,"-",L78,"-",M78,"-32-01")</f>
        <v>100-100-2560--000-32-01</v>
      </c>
      <c r="H78" s="273" t="s">
        <v>311</v>
      </c>
      <c r="J78" s="278" t="s">
        <v>269</v>
      </c>
      <c r="K78" s="689" t="str">
        <f t="shared" ref="K78:K79" si="24">LEFT(J78,4)</f>
        <v>2560</v>
      </c>
      <c r="L78" s="689"/>
      <c r="M78" s="689" t="str">
        <f t="shared" ref="M78:M79" si="25">RIGHT(J78,3)</f>
        <v>000</v>
      </c>
      <c r="N78" s="278" t="s">
        <v>336</v>
      </c>
    </row>
    <row r="79" spans="1:14" x14ac:dyDescent="0.2">
      <c r="A79" s="272" t="s">
        <v>249</v>
      </c>
      <c r="B79" s="272" t="s">
        <v>310</v>
      </c>
      <c r="C79" s="272" t="s">
        <v>311</v>
      </c>
      <c r="D79" s="687" t="str">
        <f t="shared" si="23"/>
        <v>100-100-2560-6540-000-32-01</v>
      </c>
      <c r="E79" s="272" t="s">
        <v>312</v>
      </c>
      <c r="F79" s="687">
        <f t="shared" ref="F79" si="26">IFERROR(G79,0)</f>
        <v>2000</v>
      </c>
      <c r="G79" s="688">
        <f>VLOOKUP(L79,'Function-Grant'!$C:$AP,15,'Function-Grant'!$C:$AP)</f>
        <v>2000</v>
      </c>
      <c r="H79" s="273" t="s">
        <v>311</v>
      </c>
      <c r="J79" s="278" t="s">
        <v>269</v>
      </c>
      <c r="K79" s="689" t="str">
        <f t="shared" si="24"/>
        <v>2560</v>
      </c>
      <c r="L79" s="689">
        <v>6540</v>
      </c>
      <c r="M79" s="689" t="str">
        <f t="shared" si="25"/>
        <v>000</v>
      </c>
      <c r="N79" s="278" t="s">
        <v>337</v>
      </c>
    </row>
    <row r="80" spans="1:14" x14ac:dyDescent="0.2">
      <c r="A80" s="272" t="s">
        <v>249</v>
      </c>
      <c r="B80" s="272" t="s">
        <v>310</v>
      </c>
      <c r="C80" s="272" t="s">
        <v>311</v>
      </c>
      <c r="D80" s="687" t="str">
        <f t="shared" si="4"/>
        <v>100-100-2580--000-32-01</v>
      </c>
      <c r="H80" s="273" t="s">
        <v>311</v>
      </c>
      <c r="J80" s="278" t="s">
        <v>271</v>
      </c>
      <c r="K80" s="689" t="str">
        <f t="shared" si="21"/>
        <v>2580</v>
      </c>
      <c r="L80" s="689"/>
      <c r="M80" s="689" t="str">
        <f t="shared" si="20"/>
        <v>000</v>
      </c>
      <c r="N80" s="278" t="s">
        <v>336</v>
      </c>
    </row>
    <row r="81" spans="1:14" x14ac:dyDescent="0.2">
      <c r="A81" s="272" t="s">
        <v>249</v>
      </c>
      <c r="B81" s="272" t="s">
        <v>310</v>
      </c>
      <c r="C81" s="272" t="s">
        <v>311</v>
      </c>
      <c r="D81" s="687" t="str">
        <f t="shared" si="4"/>
        <v>100-100-2580-6350-000-32-01</v>
      </c>
      <c r="E81" s="272" t="s">
        <v>312</v>
      </c>
      <c r="F81" s="687">
        <f t="shared" ref="F81:F82" si="27">IFERROR(G81,0)</f>
        <v>2000</v>
      </c>
      <c r="G81" s="688">
        <f>VLOOKUP(L81,'Function-Grant'!$C:$AP,17,'Function-Grant'!$C:$AP)</f>
        <v>2000</v>
      </c>
      <c r="H81" s="273" t="s">
        <v>311</v>
      </c>
      <c r="J81" s="278" t="s">
        <v>271</v>
      </c>
      <c r="K81" s="689" t="str">
        <f t="shared" si="21"/>
        <v>2580</v>
      </c>
      <c r="L81" s="689">
        <v>6350</v>
      </c>
      <c r="M81" s="689" t="str">
        <f t="shared" si="20"/>
        <v>000</v>
      </c>
      <c r="N81" s="278" t="s">
        <v>337</v>
      </c>
    </row>
    <row r="82" spans="1:14" x14ac:dyDescent="0.2">
      <c r="A82" s="272" t="s">
        <v>249</v>
      </c>
      <c r="B82" s="272" t="s">
        <v>310</v>
      </c>
      <c r="C82" s="272" t="s">
        <v>311</v>
      </c>
      <c r="D82" s="687" t="str">
        <f t="shared" si="4"/>
        <v>100-100-2580-6651-000-32-01</v>
      </c>
      <c r="E82" s="272" t="s">
        <v>312</v>
      </c>
      <c r="F82" s="687">
        <f t="shared" si="27"/>
        <v>0</v>
      </c>
      <c r="G82" s="688">
        <f>VLOOKUP(L82,'Function-Grant'!$C:$AP,17,'Function-Grant'!$C:$AP)</f>
        <v>0</v>
      </c>
      <c r="H82" s="273" t="s">
        <v>311</v>
      </c>
      <c r="J82" s="278" t="s">
        <v>271</v>
      </c>
      <c r="K82" s="689" t="str">
        <f t="shared" si="21"/>
        <v>2580</v>
      </c>
      <c r="L82" s="689">
        <v>6651</v>
      </c>
      <c r="M82" s="689" t="str">
        <f t="shared" si="20"/>
        <v>000</v>
      </c>
      <c r="N82" s="278" t="s">
        <v>337</v>
      </c>
    </row>
    <row r="83" spans="1:14" x14ac:dyDescent="0.2">
      <c r="A83" s="272" t="s">
        <v>249</v>
      </c>
      <c r="B83" s="272" t="s">
        <v>310</v>
      </c>
      <c r="C83" s="272" t="s">
        <v>311</v>
      </c>
      <c r="D83" s="687" t="str">
        <f t="shared" si="4"/>
        <v>100-100-2600--000-32-01</v>
      </c>
      <c r="H83" s="273" t="s">
        <v>311</v>
      </c>
      <c r="J83" s="278" t="s">
        <v>272</v>
      </c>
      <c r="K83" s="689" t="str">
        <f t="shared" si="21"/>
        <v>2600</v>
      </c>
      <c r="L83" s="689"/>
      <c r="M83" s="689" t="str">
        <f t="shared" si="20"/>
        <v>000</v>
      </c>
      <c r="N83" s="278" t="s">
        <v>336</v>
      </c>
    </row>
    <row r="84" spans="1:14" x14ac:dyDescent="0.2">
      <c r="A84" s="272" t="s">
        <v>249</v>
      </c>
      <c r="B84" s="272" t="s">
        <v>310</v>
      </c>
      <c r="C84" s="272" t="s">
        <v>311</v>
      </c>
      <c r="D84" s="687" t="str">
        <f t="shared" si="4"/>
        <v>100-100-2600-6441-000-32-01</v>
      </c>
      <c r="E84" s="272" t="s">
        <v>312</v>
      </c>
      <c r="F84" s="687">
        <f t="shared" ref="F84:F92" si="28">IFERROR(G84,0)</f>
        <v>111776.79999999997</v>
      </c>
      <c r="G84" s="688">
        <f>VLOOKUP(L84,'Function-Grant'!$C:$AP,18,'Function-Grant'!$C:$AP)</f>
        <v>111776.79999999997</v>
      </c>
      <c r="H84" s="273" t="s">
        <v>311</v>
      </c>
      <c r="J84" s="278" t="s">
        <v>272</v>
      </c>
      <c r="K84" s="689" t="str">
        <f t="shared" si="21"/>
        <v>2600</v>
      </c>
      <c r="L84" s="689">
        <v>6441</v>
      </c>
      <c r="M84" s="689" t="str">
        <f t="shared" si="20"/>
        <v>000</v>
      </c>
      <c r="N84" s="278" t="s">
        <v>337</v>
      </c>
    </row>
    <row r="85" spans="1:14" x14ac:dyDescent="0.2">
      <c r="A85" s="272" t="s">
        <v>249</v>
      </c>
      <c r="B85" s="272" t="s">
        <v>310</v>
      </c>
      <c r="C85" s="272" t="s">
        <v>311</v>
      </c>
      <c r="D85" s="687" t="str">
        <f t="shared" si="4"/>
        <v>100-100-2610--000-32-01</v>
      </c>
      <c r="H85" s="273" t="s">
        <v>311</v>
      </c>
      <c r="J85" s="278" t="s">
        <v>273</v>
      </c>
      <c r="K85" s="689" t="str">
        <f t="shared" si="21"/>
        <v>2610</v>
      </c>
      <c r="L85" s="689"/>
      <c r="M85" s="689" t="str">
        <f t="shared" si="20"/>
        <v>000</v>
      </c>
      <c r="N85" s="278" t="s">
        <v>336</v>
      </c>
    </row>
    <row r="86" spans="1:14" x14ac:dyDescent="0.2">
      <c r="A86" s="272" t="s">
        <v>249</v>
      </c>
      <c r="B86" s="272" t="s">
        <v>310</v>
      </c>
      <c r="C86" s="272" t="s">
        <v>311</v>
      </c>
      <c r="D86" s="687" t="str">
        <f t="shared" si="4"/>
        <v>100-100-2610-6340-000-32-01</v>
      </c>
      <c r="E86" s="272" t="s">
        <v>312</v>
      </c>
      <c r="F86" s="687">
        <f t="shared" si="28"/>
        <v>0</v>
      </c>
      <c r="G86" s="688">
        <f>VLOOKUP(L86,'Function-Grant'!$C:$AP,19,'Function-Grant'!$C:$AP)</f>
        <v>0</v>
      </c>
      <c r="H86" s="273" t="s">
        <v>311</v>
      </c>
      <c r="J86" s="278" t="s">
        <v>273</v>
      </c>
      <c r="K86" s="689" t="str">
        <f t="shared" si="21"/>
        <v>2610</v>
      </c>
      <c r="L86" s="689">
        <v>6340</v>
      </c>
      <c r="M86" s="689" t="str">
        <f t="shared" si="20"/>
        <v>000</v>
      </c>
      <c r="N86" s="278" t="s">
        <v>337</v>
      </c>
    </row>
    <row r="87" spans="1:14" x14ac:dyDescent="0.2">
      <c r="A87" s="272" t="s">
        <v>249</v>
      </c>
      <c r="B87" s="272" t="s">
        <v>310</v>
      </c>
      <c r="C87" s="272" t="s">
        <v>311</v>
      </c>
      <c r="D87" s="687" t="str">
        <f t="shared" si="4"/>
        <v>100-100-2610-6410-000-32-01</v>
      </c>
      <c r="E87" s="272" t="s">
        <v>312</v>
      </c>
      <c r="F87" s="687">
        <f t="shared" si="28"/>
        <v>2400</v>
      </c>
      <c r="G87" s="688">
        <f>VLOOKUP(L87,'Function-Grant'!$C:$AP,19,'Function-Grant'!$C:$AP)</f>
        <v>2400</v>
      </c>
      <c r="H87" s="273" t="s">
        <v>311</v>
      </c>
      <c r="J87" s="278" t="s">
        <v>273</v>
      </c>
      <c r="K87" s="689" t="str">
        <f t="shared" si="21"/>
        <v>2610</v>
      </c>
      <c r="L87" s="689">
        <v>6410</v>
      </c>
      <c r="M87" s="689" t="str">
        <f t="shared" si="20"/>
        <v>000</v>
      </c>
      <c r="N87" s="278" t="s">
        <v>337</v>
      </c>
    </row>
    <row r="88" spans="1:14" x14ac:dyDescent="0.2">
      <c r="A88" s="272" t="s">
        <v>249</v>
      </c>
      <c r="B88" s="272" t="s">
        <v>310</v>
      </c>
      <c r="C88" s="272" t="s">
        <v>311</v>
      </c>
      <c r="D88" s="687" t="str">
        <f t="shared" ref="D88:D96" si="29">CONCATENATE("100-100-",K88,"-",L88,"-",M88,"-32-01")</f>
        <v>100-100-2610-6622-000-32-01</v>
      </c>
      <c r="E88" s="272" t="s">
        <v>312</v>
      </c>
      <c r="F88" s="687">
        <f t="shared" si="28"/>
        <v>9600</v>
      </c>
      <c r="G88" s="688">
        <f>VLOOKUP(L88,'Function-Grant'!$C:$AP,19,'Function-Grant'!$C:$AP)</f>
        <v>9600</v>
      </c>
      <c r="H88" s="273" t="s">
        <v>311</v>
      </c>
      <c r="J88" s="278" t="s">
        <v>273</v>
      </c>
      <c r="K88" s="689" t="str">
        <f t="shared" si="21"/>
        <v>2610</v>
      </c>
      <c r="L88" s="689">
        <v>6622</v>
      </c>
      <c r="M88" s="689" t="str">
        <f t="shared" si="20"/>
        <v>000</v>
      </c>
      <c r="N88" s="278" t="s">
        <v>337</v>
      </c>
    </row>
    <row r="89" spans="1:14" x14ac:dyDescent="0.2">
      <c r="A89" s="272" t="s">
        <v>249</v>
      </c>
      <c r="B89" s="272" t="s">
        <v>310</v>
      </c>
      <c r="C89" s="272" t="s">
        <v>311</v>
      </c>
      <c r="D89" s="687" t="str">
        <f t="shared" si="29"/>
        <v>100-100-2620--000-32-01</v>
      </c>
      <c r="H89" s="273" t="s">
        <v>311</v>
      </c>
      <c r="J89" s="278" t="s">
        <v>274</v>
      </c>
      <c r="K89" s="689" t="str">
        <f t="shared" si="21"/>
        <v>2620</v>
      </c>
      <c r="L89" s="689"/>
      <c r="M89" s="689" t="str">
        <f t="shared" si="20"/>
        <v>000</v>
      </c>
      <c r="N89" s="278" t="s">
        <v>336</v>
      </c>
    </row>
    <row r="90" spans="1:14" x14ac:dyDescent="0.2">
      <c r="A90" s="272" t="s">
        <v>249</v>
      </c>
      <c r="B90" s="272" t="s">
        <v>310</v>
      </c>
      <c r="C90" s="272" t="s">
        <v>311</v>
      </c>
      <c r="D90" s="687" t="str">
        <f t="shared" si="29"/>
        <v>100-100-2620-6420-000-32-01</v>
      </c>
      <c r="E90" s="272" t="s">
        <v>312</v>
      </c>
      <c r="F90" s="687">
        <f t="shared" si="28"/>
        <v>9100</v>
      </c>
      <c r="G90" s="688">
        <f>VLOOKUP(L90,'Function-Grant'!$C:$AP,20,'Function-Grant'!$C:$AP)</f>
        <v>9100</v>
      </c>
      <c r="H90" s="273" t="s">
        <v>311</v>
      </c>
      <c r="J90" s="278" t="s">
        <v>274</v>
      </c>
      <c r="K90" s="689" t="str">
        <f t="shared" si="21"/>
        <v>2620</v>
      </c>
      <c r="L90" s="689">
        <v>6420</v>
      </c>
      <c r="M90" s="689" t="str">
        <f t="shared" si="20"/>
        <v>000</v>
      </c>
      <c r="N90" s="278" t="s">
        <v>337</v>
      </c>
    </row>
    <row r="91" spans="1:14" x14ac:dyDescent="0.2">
      <c r="A91" s="272" t="s">
        <v>249</v>
      </c>
      <c r="B91" s="272" t="s">
        <v>310</v>
      </c>
      <c r="C91" s="272" t="s">
        <v>311</v>
      </c>
      <c r="D91" s="687" t="str">
        <f t="shared" ref="D91" si="30">CONCATENATE("100-100-",K91,"-",L91,"-",M91,"-32-01")</f>
        <v>100-100-2630-6420-000-32-01</v>
      </c>
      <c r="E91" s="272" t="s">
        <v>312</v>
      </c>
      <c r="F91" s="687">
        <f t="shared" ref="F91" si="31">IFERROR(G91,0)</f>
        <v>2200</v>
      </c>
      <c r="G91" s="688">
        <f>VLOOKUP(L91,'Function-Grant'!$C:$AP,21,'Function-Grant'!$C:$AP)</f>
        <v>2200</v>
      </c>
      <c r="H91" s="273" t="s">
        <v>311</v>
      </c>
      <c r="J91" s="278" t="s">
        <v>607</v>
      </c>
      <c r="K91" s="689" t="str">
        <f t="shared" ref="K91" si="32">LEFT(J91,4)</f>
        <v>2630</v>
      </c>
      <c r="L91" s="689">
        <v>6420</v>
      </c>
      <c r="M91" s="689" t="str">
        <f t="shared" ref="M91" si="33">RIGHT(J91,3)</f>
        <v>000</v>
      </c>
      <c r="N91" s="278" t="s">
        <v>337</v>
      </c>
    </row>
    <row r="92" spans="1:14" x14ac:dyDescent="0.2">
      <c r="A92" s="272" t="s">
        <v>249</v>
      </c>
      <c r="B92" s="272" t="s">
        <v>310</v>
      </c>
      <c r="C92" s="272" t="s">
        <v>311</v>
      </c>
      <c r="D92" s="687" t="str">
        <f t="shared" si="29"/>
        <v>100-100-2620-6430-000-32-01</v>
      </c>
      <c r="E92" s="272" t="s">
        <v>312</v>
      </c>
      <c r="F92" s="687">
        <f t="shared" si="28"/>
        <v>57305</v>
      </c>
      <c r="G92" s="688">
        <f>VLOOKUP(L92,'Function-Grant'!$C:$AP,20,'Function-Grant'!$C:$AP)</f>
        <v>57305</v>
      </c>
      <c r="H92" s="273" t="s">
        <v>311</v>
      </c>
      <c r="J92" s="278" t="s">
        <v>274</v>
      </c>
      <c r="K92" s="689" t="str">
        <f t="shared" si="21"/>
        <v>2620</v>
      </c>
      <c r="L92" s="689">
        <v>6430</v>
      </c>
      <c r="M92" s="689" t="str">
        <f t="shared" si="20"/>
        <v>000</v>
      </c>
      <c r="N92" s="278" t="s">
        <v>337</v>
      </c>
    </row>
    <row r="93" spans="1:14" x14ac:dyDescent="0.2">
      <c r="A93" s="272" t="s">
        <v>249</v>
      </c>
      <c r="B93" s="272" t="s">
        <v>310</v>
      </c>
      <c r="C93" s="272" t="s">
        <v>311</v>
      </c>
      <c r="D93" s="687" t="str">
        <f t="shared" si="29"/>
        <v>100-100-2700--000-32-01</v>
      </c>
      <c r="H93" s="273" t="s">
        <v>311</v>
      </c>
      <c r="J93" s="278" t="s">
        <v>339</v>
      </c>
      <c r="K93" s="689" t="str">
        <f t="shared" si="21"/>
        <v>2700</v>
      </c>
      <c r="L93" s="689"/>
      <c r="M93" s="689" t="str">
        <f t="shared" si="20"/>
        <v>000</v>
      </c>
      <c r="N93" s="278" t="s">
        <v>336</v>
      </c>
    </row>
    <row r="94" spans="1:14" x14ac:dyDescent="0.2">
      <c r="A94" s="272" t="s">
        <v>249</v>
      </c>
      <c r="B94" s="272" t="s">
        <v>310</v>
      </c>
      <c r="C94" s="272" t="s">
        <v>311</v>
      </c>
      <c r="D94" s="687" t="str">
        <f t="shared" si="29"/>
        <v>100-100-2710-6519-000-32-01</v>
      </c>
      <c r="E94" s="272" t="s">
        <v>312</v>
      </c>
      <c r="F94" s="687">
        <f t="shared" ref="F94:F96" si="34">IFERROR(G94,0)</f>
        <v>400</v>
      </c>
      <c r="G94" s="688">
        <f>VLOOKUP(L94,'Function-Grant'!$C:$AP,22,'Function-Grant'!$C:$AP)</f>
        <v>400</v>
      </c>
      <c r="H94" s="273" t="s">
        <v>311</v>
      </c>
      <c r="J94" s="278" t="s">
        <v>275</v>
      </c>
      <c r="K94" s="689" t="str">
        <f t="shared" si="21"/>
        <v>2710</v>
      </c>
      <c r="L94" s="689">
        <v>6519</v>
      </c>
      <c r="M94" s="689" t="str">
        <f t="shared" si="20"/>
        <v>000</v>
      </c>
      <c r="N94" s="278" t="s">
        <v>336</v>
      </c>
    </row>
    <row r="95" spans="1:14" x14ac:dyDescent="0.2">
      <c r="A95" s="272" t="s">
        <v>249</v>
      </c>
      <c r="B95" s="272" t="s">
        <v>310</v>
      </c>
      <c r="C95" s="272" t="s">
        <v>311</v>
      </c>
      <c r="D95" s="687" t="str">
        <f t="shared" si="29"/>
        <v>100-100-2900--000-32-01</v>
      </c>
      <c r="H95" s="273" t="s">
        <v>311</v>
      </c>
      <c r="J95" s="278" t="s">
        <v>276</v>
      </c>
      <c r="K95" s="689" t="str">
        <f t="shared" si="21"/>
        <v>2900</v>
      </c>
      <c r="L95" s="689"/>
      <c r="M95" s="689" t="str">
        <f t="shared" si="20"/>
        <v>000</v>
      </c>
      <c r="N95" s="278" t="s">
        <v>336</v>
      </c>
    </row>
    <row r="96" spans="1:14" x14ac:dyDescent="0.2">
      <c r="A96" s="272" t="s">
        <v>249</v>
      </c>
      <c r="B96" s="272" t="s">
        <v>310</v>
      </c>
      <c r="C96" s="272" t="s">
        <v>311</v>
      </c>
      <c r="D96" s="687" t="str">
        <f t="shared" si="29"/>
        <v>100-100-2900-6810-000-32-01</v>
      </c>
      <c r="E96" s="272" t="s">
        <v>312</v>
      </c>
      <c r="F96" s="687">
        <f t="shared" si="34"/>
        <v>427</v>
      </c>
      <c r="G96" s="688">
        <f>VLOOKUP(L96,'Function-Grant'!$C:$AP,23,'Function-Grant'!$C:$AP)</f>
        <v>427</v>
      </c>
      <c r="H96" s="273" t="s">
        <v>311</v>
      </c>
      <c r="J96" s="278" t="s">
        <v>276</v>
      </c>
      <c r="K96" s="689" t="str">
        <f>LEFT(J96,4)</f>
        <v>2900</v>
      </c>
      <c r="L96" s="689">
        <v>6810</v>
      </c>
      <c r="M96" s="689" t="str">
        <f t="shared" si="20"/>
        <v>000</v>
      </c>
      <c r="N96" s="278" t="s">
        <v>336</v>
      </c>
    </row>
  </sheetData>
  <sortState ref="K5:K74">
    <sortCondition ref="K5"/>
  </sortState>
  <phoneticPr fontId="1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M58"/>
  <sheetViews>
    <sheetView workbookViewId="0"/>
  </sheetViews>
  <sheetFormatPr defaultColWidth="8.85546875" defaultRowHeight="12.75" x14ac:dyDescent="0.2"/>
  <cols>
    <col min="1" max="1" width="1.7109375" style="119" customWidth="1"/>
    <col min="2" max="2" width="1.5703125" style="119" customWidth="1"/>
    <col min="3" max="3" width="20.85546875" style="119" bestFit="1" customWidth="1"/>
    <col min="4" max="4" width="1.28515625" style="119" customWidth="1"/>
    <col min="5" max="7" width="11.85546875" style="119" customWidth="1"/>
    <col min="8" max="8" width="2.28515625" style="119" customWidth="1"/>
    <col min="9" max="11" width="11.85546875" style="119" customWidth="1"/>
    <col min="12" max="12" width="1.85546875" style="119" customWidth="1"/>
    <col min="13" max="15" width="8.85546875" style="119"/>
    <col min="16" max="18" width="9.85546875" style="119" customWidth="1"/>
    <col min="19" max="19" width="8.85546875" style="119"/>
    <col min="20" max="20" width="21.28515625" style="119" customWidth="1"/>
    <col min="21" max="21" width="1.7109375" style="119" customWidth="1"/>
    <col min="22" max="26" width="12.7109375" style="119" customWidth="1"/>
    <col min="27" max="16384" width="8.85546875" style="119"/>
  </cols>
  <sheetData>
    <row r="1" spans="1:13" s="1" customFormat="1" ht="23.25" x14ac:dyDescent="0.35">
      <c r="A1" s="198" t="str">
        <f>'Rev &amp; Enroll'!$F$5</f>
        <v>Nevada State High School (Henderson)</v>
      </c>
      <c r="B1" s="81"/>
      <c r="C1" s="17"/>
      <c r="E1" s="2"/>
      <c r="G1" s="2"/>
      <c r="I1" s="2"/>
      <c r="K1" s="2"/>
      <c r="M1" s="2"/>
    </row>
    <row r="2" spans="1:13" s="1" customFormat="1" ht="15.75" x14ac:dyDescent="0.25">
      <c r="A2" s="199" t="str">
        <f>CONCATENATE('Rev &amp; Enroll'!F7," ","Board Summary")</f>
        <v>FY21 Board Summary</v>
      </c>
      <c r="B2" s="82"/>
      <c r="C2" s="17"/>
      <c r="D2" s="13"/>
      <c r="E2" s="2"/>
      <c r="G2" s="2"/>
      <c r="I2" s="2"/>
      <c r="K2" s="2"/>
      <c r="M2" s="2"/>
    </row>
    <row r="3" spans="1:13" s="6" customFormat="1" ht="13.5" customHeight="1" x14ac:dyDescent="0.2">
      <c r="A3" s="5" t="str">
        <f>'FY21'!A3</f>
        <v>Board Approved: Proposed: 4/16/2020</v>
      </c>
      <c r="B3" s="83"/>
      <c r="C3" s="17"/>
      <c r="E3" s="7"/>
      <c r="G3" s="7"/>
      <c r="I3" s="7"/>
      <c r="K3" s="7"/>
      <c r="M3" s="7"/>
    </row>
    <row r="4" spans="1:13" s="6" customFormat="1" ht="13.5" customHeight="1" x14ac:dyDescent="0.2">
      <c r="A4" s="5"/>
      <c r="B4" s="83"/>
      <c r="C4" s="17"/>
      <c r="E4" s="7"/>
      <c r="G4" s="7"/>
      <c r="I4" s="7"/>
      <c r="K4" s="7"/>
      <c r="M4" s="7"/>
    </row>
    <row r="5" spans="1:13" ht="15.6" customHeight="1" x14ac:dyDescent="0.2">
      <c r="A5" s="120"/>
      <c r="E5" s="696" t="s">
        <v>176</v>
      </c>
      <c r="F5" s="696"/>
      <c r="G5" s="696"/>
      <c r="H5" s="696"/>
      <c r="I5" s="696"/>
      <c r="J5" s="696"/>
      <c r="K5" s="696"/>
    </row>
    <row r="6" spans="1:13" x14ac:dyDescent="0.2">
      <c r="A6" s="120"/>
    </row>
    <row r="7" spans="1:13" x14ac:dyDescent="0.2">
      <c r="A7" s="120"/>
    </row>
    <row r="8" spans="1:13" x14ac:dyDescent="0.2">
      <c r="A8" s="120"/>
    </row>
    <row r="9" spans="1:13" x14ac:dyDescent="0.2">
      <c r="A9" s="121"/>
      <c r="B9" s="122"/>
      <c r="C9" s="122"/>
      <c r="D9" s="122"/>
      <c r="E9" s="122"/>
    </row>
    <row r="10" spans="1:13" x14ac:dyDescent="0.2">
      <c r="A10" s="121"/>
      <c r="B10" s="122"/>
      <c r="C10" s="122"/>
      <c r="D10" s="122"/>
      <c r="E10" s="122"/>
    </row>
    <row r="11" spans="1:13" x14ac:dyDescent="0.2">
      <c r="B11" s="123"/>
      <c r="C11" s="123"/>
      <c r="D11" s="123"/>
      <c r="E11" s="695" t="s">
        <v>576</v>
      </c>
      <c r="F11" s="695"/>
      <c r="G11" s="695"/>
      <c r="H11" s="123"/>
      <c r="I11" s="695" t="s">
        <v>145</v>
      </c>
      <c r="J11" s="695"/>
      <c r="K11" s="695"/>
    </row>
    <row r="12" spans="1:13" x14ac:dyDescent="0.2">
      <c r="B12" s="124"/>
      <c r="C12" s="125"/>
      <c r="D12" s="125"/>
      <c r="E12" s="126" t="s">
        <v>544</v>
      </c>
      <c r="F12" s="126" t="s">
        <v>510</v>
      </c>
      <c r="G12" s="126" t="s">
        <v>146</v>
      </c>
      <c r="H12" s="127"/>
      <c r="I12" s="126" t="s">
        <v>510</v>
      </c>
      <c r="J12" s="126" t="s">
        <v>527</v>
      </c>
      <c r="K12" s="126" t="s">
        <v>146</v>
      </c>
    </row>
    <row r="13" spans="1:13" x14ac:dyDescent="0.2">
      <c r="B13" s="124" t="s">
        <v>147</v>
      </c>
      <c r="C13" s="125"/>
      <c r="D13" s="125"/>
      <c r="E13" s="128"/>
      <c r="F13" s="129"/>
      <c r="G13" s="130"/>
      <c r="I13" s="128"/>
      <c r="J13" s="129"/>
      <c r="K13" s="130"/>
    </row>
    <row r="14" spans="1:13" x14ac:dyDescent="0.2">
      <c r="B14" s="124"/>
      <c r="C14" s="131" t="s">
        <v>171</v>
      </c>
      <c r="D14" s="131"/>
      <c r="E14" s="102">
        <f>'FY21'!U13</f>
        <v>907199.99999999988</v>
      </c>
      <c r="F14" s="172">
        <f>'Revised Budget'!U13</f>
        <v>1145760</v>
      </c>
      <c r="G14" s="103">
        <f>E14-F14</f>
        <v>-238560.00000000012</v>
      </c>
      <c r="H14" s="104"/>
      <c r="I14" s="102">
        <f>'Revised Budget'!S13</f>
        <v>1718640</v>
      </c>
      <c r="J14" s="172">
        <f>'FY21'!S13</f>
        <v>1360795.4639999997</v>
      </c>
      <c r="K14" s="103">
        <f>J14-I14</f>
        <v>-357844.53600000031</v>
      </c>
    </row>
    <row r="15" spans="1:13" x14ac:dyDescent="0.2">
      <c r="B15" s="124"/>
      <c r="C15" s="125" t="s">
        <v>170</v>
      </c>
      <c r="D15" s="125"/>
      <c r="E15" s="105">
        <f>'FY21'!U17</f>
        <v>0</v>
      </c>
      <c r="F15" s="173">
        <f>'Revised Budget'!U17</f>
        <v>7298.8000000000011</v>
      </c>
      <c r="G15" s="106">
        <f t="shared" ref="G15:G17" si="0">E15-F15</f>
        <v>-7298.8000000000011</v>
      </c>
      <c r="H15" s="107"/>
      <c r="I15" s="105">
        <f>'Revised Budget'!S17</f>
        <v>10948.200000000004</v>
      </c>
      <c r="J15" s="173">
        <f>'FY21'!S17</f>
        <v>384</v>
      </c>
      <c r="K15" s="103">
        <f t="shared" ref="K15:K16" si="1">J15-I15</f>
        <v>-10564.200000000004</v>
      </c>
    </row>
    <row r="16" spans="1:13" x14ac:dyDescent="0.2">
      <c r="B16" s="124"/>
      <c r="C16" s="131" t="s">
        <v>148</v>
      </c>
      <c r="D16" s="131"/>
      <c r="E16" s="108">
        <f>'FY21'!U22</f>
        <v>0</v>
      </c>
      <c r="F16" s="152">
        <f>'Revised Budget'!U22</f>
        <v>0</v>
      </c>
      <c r="G16" s="109">
        <f t="shared" si="0"/>
        <v>0</v>
      </c>
      <c r="H16" s="110"/>
      <c r="I16" s="108">
        <f>'Revised Budget'!S22</f>
        <v>0</v>
      </c>
      <c r="J16" s="152">
        <f>'FY21'!S22</f>
        <v>0</v>
      </c>
      <c r="K16" s="103">
        <f t="shared" si="1"/>
        <v>0</v>
      </c>
      <c r="L16" s="110"/>
    </row>
    <row r="17" spans="2:13" ht="15" x14ac:dyDescent="0.35">
      <c r="B17" s="124"/>
      <c r="C17" s="132" t="s">
        <v>149</v>
      </c>
      <c r="D17" s="132"/>
      <c r="E17" s="111">
        <f>'FY21'!U25</f>
        <v>0</v>
      </c>
      <c r="F17" s="174">
        <f>'Revised Budget'!U25</f>
        <v>0</v>
      </c>
      <c r="G17" s="112">
        <f t="shared" si="0"/>
        <v>0</v>
      </c>
      <c r="H17" s="113"/>
      <c r="I17" s="111">
        <f>'Revised Budget'!S25</f>
        <v>0</v>
      </c>
      <c r="J17" s="174">
        <f>'FY21'!S25</f>
        <v>0</v>
      </c>
      <c r="K17" s="112">
        <f>J17-I17</f>
        <v>0</v>
      </c>
      <c r="L17" s="110"/>
    </row>
    <row r="18" spans="2:13" ht="5.0999999999999996" customHeight="1" x14ac:dyDescent="0.35">
      <c r="B18" s="124"/>
      <c r="C18" s="125"/>
      <c r="D18" s="125"/>
      <c r="E18" s="133"/>
      <c r="F18" s="152"/>
      <c r="G18" s="109"/>
      <c r="H18" s="110"/>
      <c r="I18" s="108"/>
      <c r="J18" s="152"/>
      <c r="K18" s="109"/>
      <c r="L18" s="110"/>
    </row>
    <row r="19" spans="2:13" s="120" customFormat="1" ht="15" x14ac:dyDescent="0.35">
      <c r="C19" s="124" t="s">
        <v>105</v>
      </c>
      <c r="D19" s="124"/>
      <c r="E19" s="133">
        <f>SUM(E14:E17)</f>
        <v>907199.99999999988</v>
      </c>
      <c r="F19" s="175">
        <f>SUM(F14:F17)</f>
        <v>1153058.8</v>
      </c>
      <c r="G19" s="134">
        <f>SUM(G14:G17)</f>
        <v>-245858.8000000001</v>
      </c>
      <c r="H19" s="135"/>
      <c r="I19" s="133">
        <f>SUM(I14:I17)</f>
        <v>1729588.2</v>
      </c>
      <c r="J19" s="175">
        <f>SUM(J14:J17)</f>
        <v>1361179.4639999997</v>
      </c>
      <c r="K19" s="134">
        <f>SUM(K14:K17)</f>
        <v>-368408.73600000032</v>
      </c>
      <c r="L19" s="136"/>
      <c r="M19" s="373"/>
    </row>
    <row r="20" spans="2:13" ht="5.0999999999999996" customHeight="1" x14ac:dyDescent="0.2">
      <c r="B20" s="120"/>
      <c r="E20" s="108"/>
      <c r="F20" s="152"/>
      <c r="G20" s="109"/>
      <c r="H20" s="110"/>
      <c r="I20" s="108"/>
      <c r="J20" s="152"/>
      <c r="K20" s="109"/>
      <c r="L20" s="110"/>
    </row>
    <row r="21" spans="2:13" x14ac:dyDescent="0.2">
      <c r="B21" s="120" t="s">
        <v>59</v>
      </c>
      <c r="E21" s="114"/>
      <c r="F21" s="154"/>
      <c r="G21" s="115"/>
      <c r="H21" s="155"/>
      <c r="I21" s="114"/>
      <c r="J21" s="153"/>
      <c r="K21" s="115"/>
      <c r="L21" s="110"/>
    </row>
    <row r="22" spans="2:13" x14ac:dyDescent="0.2">
      <c r="B22" s="120"/>
      <c r="C22" s="119" t="s">
        <v>174</v>
      </c>
      <c r="E22" s="114">
        <f>'FY21'!U41</f>
        <v>207953.59666666668</v>
      </c>
      <c r="F22" s="154">
        <f>'Revised Budget'!U41</f>
        <v>267076.14666666673</v>
      </c>
      <c r="G22" s="115">
        <f>F22-E22</f>
        <v>59122.550000000047</v>
      </c>
      <c r="H22" s="116"/>
      <c r="I22" s="114">
        <f>'Revised Budget'!S41</f>
        <v>400614.22</v>
      </c>
      <c r="J22" s="153">
        <f>'FY21'!S41</f>
        <v>312119.89500000002</v>
      </c>
      <c r="K22" s="115">
        <f>J22-I22</f>
        <v>-88494.324999999953</v>
      </c>
      <c r="L22" s="110"/>
    </row>
    <row r="23" spans="2:13" x14ac:dyDescent="0.2">
      <c r="B23" s="120"/>
      <c r="C23" s="119" t="s">
        <v>173</v>
      </c>
      <c r="E23" s="108">
        <f>'FY21'!U62</f>
        <v>56784.454355000009</v>
      </c>
      <c r="F23" s="176">
        <f>'Revised Budget'!U62</f>
        <v>77097.88</v>
      </c>
      <c r="G23" s="109">
        <f t="shared" ref="G23:G30" si="2">F23-E23</f>
        <v>20313.425644999996</v>
      </c>
      <c r="H23" s="110"/>
      <c r="I23" s="108">
        <f>'Revised Budget'!S62</f>
        <v>115646.82</v>
      </c>
      <c r="J23" s="152">
        <f>'FY21'!S62</f>
        <v>85179.429282499987</v>
      </c>
      <c r="K23" s="115">
        <f t="shared" ref="K23:K29" si="3">J23-I23</f>
        <v>-30467.39071750002</v>
      </c>
      <c r="L23" s="110"/>
    </row>
    <row r="24" spans="2:13" x14ac:dyDescent="0.2">
      <c r="B24" s="120"/>
      <c r="C24" s="137" t="s">
        <v>175</v>
      </c>
      <c r="D24" s="137"/>
      <c r="E24" s="108">
        <f>'FY21'!U74</f>
        <v>25480</v>
      </c>
      <c r="F24" s="176">
        <f>'Revised Budget'!U74</f>
        <v>45012</v>
      </c>
      <c r="G24" s="109">
        <f t="shared" si="2"/>
        <v>19532</v>
      </c>
      <c r="H24" s="110"/>
      <c r="I24" s="108">
        <f>'Revised Budget'!S74</f>
        <v>67518</v>
      </c>
      <c r="J24" s="152">
        <f>'FY21'!S74</f>
        <v>38220</v>
      </c>
      <c r="K24" s="115">
        <f t="shared" si="3"/>
        <v>-29298</v>
      </c>
      <c r="L24" s="110"/>
    </row>
    <row r="25" spans="2:13" x14ac:dyDescent="0.2">
      <c r="C25" s="137" t="s">
        <v>172</v>
      </c>
      <c r="D25" s="137"/>
      <c r="E25" s="108">
        <f>'FY21'!U80</f>
        <v>139271.38666666672</v>
      </c>
      <c r="F25" s="176">
        <f>'Revised Budget'!U80</f>
        <v>0</v>
      </c>
      <c r="G25" s="109">
        <f t="shared" si="2"/>
        <v>-139271.38666666672</v>
      </c>
      <c r="H25" s="110"/>
      <c r="I25" s="108">
        <f>'Revised Budget'!S80</f>
        <v>134240</v>
      </c>
      <c r="J25" s="152">
        <f>'FY21'!S80</f>
        <v>184781.8</v>
      </c>
      <c r="K25" s="115">
        <f t="shared" si="3"/>
        <v>50541.799999999988</v>
      </c>
      <c r="L25" s="110"/>
    </row>
    <row r="26" spans="2:13" x14ac:dyDescent="0.2">
      <c r="C26" s="137" t="s">
        <v>101</v>
      </c>
      <c r="D26" s="137"/>
      <c r="E26" s="108">
        <f>'FY21'!U94</f>
        <v>247260</v>
      </c>
      <c r="F26" s="176">
        <f>'Revised Budget'!U94</f>
        <v>463925.33333333337</v>
      </c>
      <c r="G26" s="109">
        <f t="shared" si="2"/>
        <v>216665.33333333337</v>
      </c>
      <c r="H26" s="110"/>
      <c r="I26" s="108">
        <f>'Revised Budget'!S94</f>
        <v>695888</v>
      </c>
      <c r="J26" s="152">
        <f>'FY21'!S94</f>
        <v>529240</v>
      </c>
      <c r="K26" s="115">
        <f t="shared" si="3"/>
        <v>-166648</v>
      </c>
      <c r="L26" s="110"/>
    </row>
    <row r="27" spans="2:13" x14ac:dyDescent="0.2">
      <c r="C27" s="137" t="s">
        <v>102</v>
      </c>
      <c r="D27" s="137"/>
      <c r="E27" s="108">
        <f>'FY21'!U103</f>
        <v>68284</v>
      </c>
      <c r="F27" s="176">
        <f>'Revised Budget'!U103</f>
        <v>133723.64000000001</v>
      </c>
      <c r="G27" s="109">
        <f t="shared" si="2"/>
        <v>65439.640000000014</v>
      </c>
      <c r="H27" s="110"/>
      <c r="I27" s="108">
        <f>'Revised Budget'!S103</f>
        <v>200585.46</v>
      </c>
      <c r="J27" s="152">
        <f>'FY21'!S103</f>
        <v>127484</v>
      </c>
      <c r="K27" s="115">
        <f t="shared" si="3"/>
        <v>-73101.459999999992</v>
      </c>
      <c r="L27" s="110"/>
    </row>
    <row r="28" spans="2:13" x14ac:dyDescent="0.2">
      <c r="C28" s="137" t="s">
        <v>103</v>
      </c>
      <c r="D28" s="137"/>
      <c r="E28" s="108">
        <f>'FY21'!U106</f>
        <v>0</v>
      </c>
      <c r="F28" s="176">
        <f>'Revised Budget'!U106</f>
        <v>0</v>
      </c>
      <c r="G28" s="109">
        <f t="shared" si="2"/>
        <v>0</v>
      </c>
      <c r="H28" s="110"/>
      <c r="I28" s="108">
        <f>'Revised Budget'!S106</f>
        <v>0</v>
      </c>
      <c r="J28" s="152">
        <f>'FY21'!S106</f>
        <v>0</v>
      </c>
      <c r="K28" s="115">
        <f t="shared" si="3"/>
        <v>0</v>
      </c>
      <c r="L28" s="110"/>
    </row>
    <row r="29" spans="2:13" x14ac:dyDescent="0.2">
      <c r="C29" s="137" t="s">
        <v>104</v>
      </c>
      <c r="D29" s="137"/>
      <c r="E29" s="108">
        <f>'FY21'!U109</f>
        <v>1790</v>
      </c>
      <c r="F29" s="176">
        <f>'Revised Budget'!U109</f>
        <v>1782</v>
      </c>
      <c r="G29" s="109">
        <f t="shared" si="2"/>
        <v>-8</v>
      </c>
      <c r="H29" s="110"/>
      <c r="I29" s="108">
        <f>'Revised Budget'!S109</f>
        <v>2673</v>
      </c>
      <c r="J29" s="152">
        <f>'FY21'!S109</f>
        <v>2137</v>
      </c>
      <c r="K29" s="115">
        <f t="shared" si="3"/>
        <v>-536</v>
      </c>
      <c r="L29" s="110"/>
    </row>
    <row r="30" spans="2:13" ht="15" x14ac:dyDescent="0.35">
      <c r="C30" s="137" t="s">
        <v>43</v>
      </c>
      <c r="D30" s="137"/>
      <c r="E30" s="609">
        <f>'FY21'!U113</f>
        <v>0</v>
      </c>
      <c r="F30" s="177">
        <f>'Revised Budget'!U113</f>
        <v>0</v>
      </c>
      <c r="G30" s="112">
        <f t="shared" si="2"/>
        <v>0</v>
      </c>
      <c r="H30" s="110"/>
      <c r="I30" s="111">
        <f>'Revised Budget'!S113</f>
        <v>0</v>
      </c>
      <c r="J30" s="177">
        <f>'FY21'!S113</f>
        <v>0</v>
      </c>
      <c r="K30" s="112">
        <f>J30-I30</f>
        <v>0</v>
      </c>
      <c r="L30" s="110"/>
    </row>
    <row r="31" spans="2:13" ht="5.0999999999999996" customHeight="1" x14ac:dyDescent="0.2">
      <c r="E31" s="108"/>
      <c r="F31" s="152"/>
      <c r="G31" s="109"/>
      <c r="H31" s="110"/>
      <c r="I31" s="108"/>
      <c r="J31" s="152"/>
      <c r="K31" s="109"/>
      <c r="L31" s="110"/>
    </row>
    <row r="32" spans="2:13" s="120" customFormat="1" ht="15" x14ac:dyDescent="0.35">
      <c r="C32" s="124" t="s">
        <v>107</v>
      </c>
      <c r="D32" s="124"/>
      <c r="E32" s="133">
        <f>ROUND(SUM(E22:E31),0)</f>
        <v>746823</v>
      </c>
      <c r="F32" s="175">
        <f>ROUND(SUM(F22:F31),0)</f>
        <v>988617</v>
      </c>
      <c r="G32" s="134">
        <f>SUM(G22:G31)</f>
        <v>241793.56231166673</v>
      </c>
      <c r="H32" s="135"/>
      <c r="I32" s="133">
        <f>ROUND(SUM(I22:I31),0)</f>
        <v>1617166</v>
      </c>
      <c r="J32" s="175">
        <f>ROUND(SUM(J22:J31),0)</f>
        <v>1279162</v>
      </c>
      <c r="K32" s="134">
        <f>SUM(K22:K31)</f>
        <v>-338003.37571749999</v>
      </c>
      <c r="L32" s="136"/>
      <c r="M32" s="119"/>
    </row>
    <row r="33" spans="2:13" x14ac:dyDescent="0.2">
      <c r="B33" s="124"/>
      <c r="C33" s="125"/>
      <c r="D33" s="125"/>
      <c r="E33" s="138"/>
      <c r="F33" s="238"/>
      <c r="G33" s="139"/>
      <c r="H33" s="140"/>
      <c r="I33" s="138"/>
      <c r="J33" s="238"/>
      <c r="K33" s="139"/>
    </row>
    <row r="34" spans="2:13" s="141" customFormat="1" x14ac:dyDescent="0.2">
      <c r="C34" s="141" t="s">
        <v>150</v>
      </c>
      <c r="E34" s="138">
        <f>E19-E32</f>
        <v>160376.99999999988</v>
      </c>
      <c r="F34" s="238">
        <f>F19-F32</f>
        <v>164441.80000000005</v>
      </c>
      <c r="G34" s="139">
        <f>G19+G32</f>
        <v>-4065.2376883333782</v>
      </c>
      <c r="H34" s="140"/>
      <c r="I34" s="138">
        <f>I19-I32</f>
        <v>112422.19999999995</v>
      </c>
      <c r="J34" s="238">
        <f>J19-J32</f>
        <v>82017.463999999687</v>
      </c>
      <c r="K34" s="139">
        <f>K19-K32</f>
        <v>-30405.360282500333</v>
      </c>
    </row>
    <row r="35" spans="2:13" s="141" customFormat="1" ht="5.0999999999999996" customHeight="1" x14ac:dyDescent="0.2">
      <c r="E35" s="142"/>
      <c r="F35" s="236"/>
      <c r="G35" s="143"/>
      <c r="I35" s="142"/>
      <c r="J35" s="236"/>
      <c r="K35" s="143"/>
    </row>
    <row r="36" spans="2:13" s="141" customFormat="1" ht="15" x14ac:dyDescent="0.35">
      <c r="C36" s="144" t="s">
        <v>151</v>
      </c>
      <c r="E36" s="145">
        <f>Budget!E33</f>
        <v>100304.7</v>
      </c>
      <c r="F36" s="239">
        <f>E36</f>
        <v>100304.7</v>
      </c>
      <c r="G36" s="143"/>
      <c r="H36" s="146"/>
      <c r="I36" s="145">
        <f>E36</f>
        <v>100304.7</v>
      </c>
      <c r="J36" s="239">
        <f>E36</f>
        <v>100304.7</v>
      </c>
      <c r="K36" s="143"/>
    </row>
    <row r="37" spans="2:13" s="141" customFormat="1" ht="18" customHeight="1" x14ac:dyDescent="0.35">
      <c r="C37" s="147" t="s">
        <v>152</v>
      </c>
      <c r="E37" s="148">
        <f>E34+E36</f>
        <v>260681.6999999999</v>
      </c>
      <c r="F37" s="235">
        <f>F34+F36</f>
        <v>264746.50000000006</v>
      </c>
      <c r="G37" s="143"/>
      <c r="H37" s="149"/>
      <c r="I37" s="148">
        <f>I34+I36</f>
        <v>212726.89999999997</v>
      </c>
      <c r="J37" s="235">
        <f>J34+J36</f>
        <v>182322.1639999997</v>
      </c>
      <c r="K37" s="143"/>
    </row>
    <row r="38" spans="2:13" s="117" customFormat="1" ht="4.9000000000000004" customHeight="1" x14ac:dyDescent="0.2">
      <c r="C38" s="118"/>
      <c r="E38" s="245"/>
      <c r="F38" s="246"/>
      <c r="G38" s="247"/>
      <c r="H38" s="225"/>
      <c r="I38" s="245"/>
      <c r="J38" s="246"/>
      <c r="K38" s="248"/>
    </row>
    <row r="39" spans="2:13" s="117" customFormat="1" ht="13.35" customHeight="1" x14ac:dyDescent="0.2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2:13" s="141" customFormat="1" x14ac:dyDescent="0.2">
      <c r="E40" s="243" t="s">
        <v>178</v>
      </c>
      <c r="F40" s="234"/>
      <c r="G40" s="234"/>
    </row>
    <row r="41" spans="2:13" s="141" customFormat="1" x14ac:dyDescent="0.2">
      <c r="E41" s="244" t="s">
        <v>250</v>
      </c>
      <c r="G41" s="234"/>
      <c r="I41" s="605">
        <f>I37/(I32-I30)*365</f>
        <v>48.013202417067873</v>
      </c>
      <c r="J41" s="605">
        <f>J37/(J32-J30)*365</f>
        <v>52.024364279113897</v>
      </c>
    </row>
    <row r="42" spans="2:13" s="141" customFormat="1" x14ac:dyDescent="0.2">
      <c r="E42" s="244" t="s">
        <v>179</v>
      </c>
      <c r="G42" s="234"/>
      <c r="H42" s="234"/>
      <c r="I42" s="604">
        <f>Budget!F41</f>
        <v>1.24</v>
      </c>
      <c r="J42" s="606">
        <f>Budget!G41</f>
        <v>0.98181818181818181</v>
      </c>
    </row>
    <row r="43" spans="2:13" s="141" customFormat="1" x14ac:dyDescent="0.2">
      <c r="E43" s="244" t="s">
        <v>180</v>
      </c>
      <c r="G43" s="234"/>
      <c r="H43" s="234"/>
      <c r="I43" s="604">
        <f>+I34/I19</f>
        <v>6.4999402748006696E-2</v>
      </c>
      <c r="J43" s="606">
        <f>+J34/J19</f>
        <v>6.0254702755344912E-2</v>
      </c>
    </row>
    <row r="44" spans="2:13" s="141" customFormat="1" x14ac:dyDescent="0.2">
      <c r="E44" s="244" t="s">
        <v>181</v>
      </c>
      <c r="G44" s="234"/>
      <c r="H44" s="234"/>
      <c r="I44" s="601" t="s">
        <v>346</v>
      </c>
      <c r="J44" s="607" t="s">
        <v>346</v>
      </c>
    </row>
    <row r="45" spans="2:13" s="141" customFormat="1" x14ac:dyDescent="0.2">
      <c r="E45" s="244" t="s">
        <v>182</v>
      </c>
      <c r="G45" s="234"/>
      <c r="H45" s="234"/>
      <c r="I45" s="601" t="s">
        <v>346</v>
      </c>
      <c r="J45" s="607" t="s">
        <v>346</v>
      </c>
    </row>
    <row r="46" spans="2:13" ht="5.0999999999999996" customHeight="1" x14ac:dyDescent="0.2">
      <c r="G46" s="234"/>
      <c r="I46" s="608"/>
      <c r="J46" s="150"/>
    </row>
    <row r="47" spans="2:13" ht="15" customHeight="1" x14ac:dyDescent="0.2"/>
    <row r="53" spans="3:4" x14ac:dyDescent="0.2">
      <c r="C53" s="151"/>
      <c r="D53" s="151"/>
    </row>
    <row r="54" spans="3:4" x14ac:dyDescent="0.2">
      <c r="C54" s="151"/>
      <c r="D54" s="151"/>
    </row>
    <row r="55" spans="3:4" x14ac:dyDescent="0.2">
      <c r="C55" s="151"/>
      <c r="D55" s="151"/>
    </row>
    <row r="56" spans="3:4" x14ac:dyDescent="0.2">
      <c r="C56" s="151"/>
      <c r="D56" s="151"/>
    </row>
    <row r="57" spans="3:4" x14ac:dyDescent="0.2">
      <c r="C57" s="151"/>
      <c r="D57" s="151"/>
    </row>
    <row r="58" spans="3:4" ht="5.0999999999999996" customHeight="1" x14ac:dyDescent="0.2"/>
  </sheetData>
  <mergeCells count="3">
    <mergeCell ref="E11:G11"/>
    <mergeCell ref="I11:K11"/>
    <mergeCell ref="E5:K5"/>
  </mergeCells>
  <printOptions horizontalCentered="1"/>
  <pageMargins left="0.3" right="0.2" top="0.35" bottom="0.2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P287"/>
  <sheetViews>
    <sheetView workbookViewId="0">
      <selection sqref="A1:XFD1048576"/>
    </sheetView>
  </sheetViews>
  <sheetFormatPr defaultColWidth="8.85546875" defaultRowHeight="15" x14ac:dyDescent="0.25"/>
  <cols>
    <col min="1" max="1" width="3.140625" style="14" customWidth="1"/>
    <col min="2" max="2" width="2.140625" style="88" customWidth="1"/>
    <col min="3" max="3" width="7.85546875" style="20" customWidth="1"/>
    <col min="4" max="4" width="32.140625" style="14" customWidth="1"/>
    <col min="5" max="5" width="10.85546875" style="14" customWidth="1"/>
    <col min="6" max="6" width="1" style="14" customWidth="1"/>
    <col min="7" max="7" width="10.85546875" style="14" customWidth="1"/>
    <col min="8" max="8" width="1" style="14" customWidth="1"/>
    <col min="9" max="9" width="10.85546875" style="14" customWidth="1"/>
    <col min="10" max="10" width="1" style="14" customWidth="1"/>
    <col min="11" max="11" width="10.85546875" style="14" customWidth="1"/>
    <col min="12" max="12" width="1" style="14" customWidth="1"/>
    <col min="13" max="13" width="10.85546875" style="14" customWidth="1"/>
    <col min="14" max="16384" width="8.85546875" style="14"/>
  </cols>
  <sheetData>
    <row r="1" spans="1:13" s="1" customFormat="1" ht="21" x14ac:dyDescent="0.35">
      <c r="A1" s="11" t="str">
        <f>'Rev &amp; Enroll'!$F$5</f>
        <v>Nevada State High School (Henderson)</v>
      </c>
      <c r="B1" s="81"/>
      <c r="C1" s="17"/>
      <c r="E1" s="2"/>
      <c r="G1" s="2"/>
      <c r="I1" s="2"/>
      <c r="K1" s="2"/>
      <c r="M1" s="2"/>
    </row>
    <row r="2" spans="1:13" s="1" customFormat="1" x14ac:dyDescent="0.25">
      <c r="A2" s="12" t="s">
        <v>137</v>
      </c>
      <c r="B2" s="82"/>
      <c r="C2" s="17"/>
      <c r="D2" s="13"/>
      <c r="E2" s="2"/>
      <c r="G2" s="2"/>
      <c r="I2" s="2"/>
      <c r="K2" s="2"/>
      <c r="M2" s="2"/>
    </row>
    <row r="3" spans="1:13" s="6" customFormat="1" ht="13.5" customHeight="1" x14ac:dyDescent="0.2">
      <c r="A3" s="5" t="str">
        <f>'FY21'!A3</f>
        <v>Board Approved: Proposed: 4/16/2020</v>
      </c>
      <c r="B3" s="83"/>
      <c r="C3" s="17"/>
      <c r="E3" s="7"/>
      <c r="G3" s="7"/>
      <c r="I3" s="7"/>
      <c r="K3" s="7"/>
      <c r="M3" s="7"/>
    </row>
    <row r="4" spans="1:13" s="9" customFormat="1" ht="12" x14ac:dyDescent="0.25">
      <c r="B4" s="84"/>
      <c r="C4" s="19"/>
      <c r="D4" s="10"/>
      <c r="E4" s="33" t="str">
        <f>'Rev &amp; Enroll'!F7</f>
        <v>FY21</v>
      </c>
      <c r="G4" s="33" t="str">
        <f>'Rev &amp; Enroll'!H7</f>
        <v>FY22</v>
      </c>
      <c r="I4" s="33" t="str">
        <f>'Rev &amp; Enroll'!J7</f>
        <v>FY23</v>
      </c>
      <c r="K4" s="33" t="str">
        <f>'Rev &amp; Enroll'!L7</f>
        <v>FY24</v>
      </c>
      <c r="M4" s="33" t="str">
        <f>'Rev &amp; Enroll'!N7</f>
        <v>FY25</v>
      </c>
    </row>
    <row r="5" spans="1:13" s="54" customFormat="1" ht="12" x14ac:dyDescent="0.2">
      <c r="B5" s="85" t="s">
        <v>141</v>
      </c>
      <c r="C5" s="79"/>
      <c r="D5" s="10"/>
      <c r="E5" s="80"/>
      <c r="F5" s="80"/>
      <c r="G5" s="80"/>
      <c r="H5" s="80"/>
      <c r="I5" s="80"/>
      <c r="J5" s="80"/>
      <c r="K5" s="80"/>
      <c r="L5" s="80"/>
      <c r="M5" s="80"/>
    </row>
    <row r="6" spans="1:13" s="54" customFormat="1" ht="12" x14ac:dyDescent="0.2">
      <c r="B6" s="85"/>
      <c r="C6" s="79"/>
      <c r="D6" s="89" t="s">
        <v>142</v>
      </c>
      <c r="E6" s="90">
        <f>'Rev &amp; Enroll'!F24</f>
        <v>270</v>
      </c>
      <c r="F6" s="90"/>
      <c r="G6" s="90">
        <f>'Rev &amp; Enroll'!H24</f>
        <v>283.5</v>
      </c>
      <c r="H6" s="90"/>
      <c r="I6" s="90">
        <f>'Rev &amp; Enroll'!J24</f>
        <v>292.005</v>
      </c>
      <c r="J6" s="90"/>
      <c r="K6" s="90">
        <f>'Rev &amp; Enroll'!L24</f>
        <v>300.76515000000006</v>
      </c>
      <c r="L6" s="90"/>
      <c r="M6" s="91">
        <f>'Rev &amp; Enroll'!N24</f>
        <v>309.78810450000003</v>
      </c>
    </row>
    <row r="7" spans="1:13" s="54" customFormat="1" ht="12" x14ac:dyDescent="0.2">
      <c r="B7" s="85"/>
      <c r="C7" s="79"/>
      <c r="D7" s="92" t="s">
        <v>143</v>
      </c>
      <c r="E7" s="93">
        <f>'Rev &amp; Enroll'!F37</f>
        <v>5040</v>
      </c>
      <c r="F7" s="93"/>
      <c r="G7" s="93">
        <f>'Rev &amp; Enroll'!H37</f>
        <v>5040</v>
      </c>
      <c r="H7" s="93"/>
      <c r="I7" s="93">
        <f>'Rev &amp; Enroll'!J37</f>
        <v>5040</v>
      </c>
      <c r="J7" s="93"/>
      <c r="K7" s="93">
        <f>'Rev &amp; Enroll'!L37</f>
        <v>5040</v>
      </c>
      <c r="L7" s="93"/>
      <c r="M7" s="94">
        <f>'Rev &amp; Enroll'!N37</f>
        <v>5040</v>
      </c>
    </row>
    <row r="8" spans="1:13" s="54" customFormat="1" ht="12" x14ac:dyDescent="0.2">
      <c r="B8" s="85"/>
      <c r="C8" s="79"/>
      <c r="D8" s="95" t="s">
        <v>188</v>
      </c>
      <c r="E8" s="96" t="s">
        <v>84</v>
      </c>
      <c r="F8" s="97"/>
      <c r="G8" s="214">
        <f>'Rev &amp; Enroll'!H34</f>
        <v>0.05</v>
      </c>
      <c r="H8" s="214"/>
      <c r="I8" s="214">
        <f>'Rev &amp; Enroll'!J34</f>
        <v>0.03</v>
      </c>
      <c r="J8" s="214"/>
      <c r="K8" s="214">
        <f>'Rev &amp; Enroll'!L34</f>
        <v>0.03</v>
      </c>
      <c r="L8" s="214"/>
      <c r="M8" s="215">
        <f>'Rev &amp; Enroll'!N34</f>
        <v>0.03</v>
      </c>
    </row>
    <row r="9" spans="1:13" s="54" customFormat="1" ht="12" x14ac:dyDescent="0.2">
      <c r="B9" s="85"/>
      <c r="C9" s="79"/>
      <c r="D9" s="92" t="s">
        <v>643</v>
      </c>
      <c r="E9" s="210" t="s">
        <v>84</v>
      </c>
      <c r="F9" s="93"/>
      <c r="G9" s="211">
        <f>Payroll!Y7</f>
        <v>0.02</v>
      </c>
      <c r="H9" s="212"/>
      <c r="I9" s="211">
        <f>Payroll!AA7</f>
        <v>0.02</v>
      </c>
      <c r="J9" s="212"/>
      <c r="K9" s="211">
        <f>Payroll!AC7</f>
        <v>0.02</v>
      </c>
      <c r="L9" s="212"/>
      <c r="M9" s="213">
        <f>Payroll!AE7</f>
        <v>0.02</v>
      </c>
    </row>
    <row r="10" spans="1:13" s="54" customFormat="1" ht="12" x14ac:dyDescent="0.2">
      <c r="B10" s="85"/>
      <c r="C10" s="79"/>
      <c r="D10" s="216" t="s">
        <v>144</v>
      </c>
      <c r="E10" s="217" t="s">
        <v>84</v>
      </c>
      <c r="F10" s="218"/>
      <c r="G10" s="219">
        <v>0.02</v>
      </c>
      <c r="H10" s="220"/>
      <c r="I10" s="219">
        <v>0.02</v>
      </c>
      <c r="J10" s="220"/>
      <c r="K10" s="219">
        <v>0.02</v>
      </c>
      <c r="L10" s="220"/>
      <c r="M10" s="221">
        <v>0.02</v>
      </c>
    </row>
    <row r="11" spans="1:13" s="54" customFormat="1" ht="12" x14ac:dyDescent="0.2">
      <c r="B11" s="85"/>
      <c r="C11" s="79"/>
      <c r="D11" s="10"/>
      <c r="E11" s="80"/>
      <c r="F11" s="80"/>
      <c r="G11" s="80"/>
      <c r="H11" s="80"/>
      <c r="I11" s="80"/>
      <c r="J11" s="80"/>
      <c r="K11" s="80"/>
      <c r="L11" s="80"/>
      <c r="M11" s="80"/>
    </row>
    <row r="12" spans="1:13" s="37" customFormat="1" ht="12" x14ac:dyDescent="0.2">
      <c r="B12" s="45" t="s">
        <v>58</v>
      </c>
      <c r="C12" s="38"/>
      <c r="E12" s="39"/>
      <c r="F12" s="39"/>
      <c r="G12" s="39"/>
      <c r="H12" s="39"/>
      <c r="I12" s="39"/>
      <c r="J12" s="39"/>
      <c r="K12" s="39"/>
      <c r="L12" s="39"/>
      <c r="M12" s="39"/>
    </row>
    <row r="13" spans="1:13" s="37" customFormat="1" ht="12" x14ac:dyDescent="0.2">
      <c r="B13" s="45"/>
      <c r="C13" s="49" t="s">
        <v>169</v>
      </c>
      <c r="E13" s="39"/>
      <c r="F13" s="39"/>
      <c r="G13" s="39"/>
      <c r="H13" s="39"/>
      <c r="I13" s="39"/>
      <c r="J13" s="39"/>
      <c r="K13" s="39"/>
      <c r="L13" s="39"/>
      <c r="M13" s="39"/>
    </row>
    <row r="14" spans="1:13" s="37" customFormat="1" ht="12" x14ac:dyDescent="0.2">
      <c r="B14" s="86"/>
      <c r="C14" s="206">
        <v>1110</v>
      </c>
      <c r="D14" s="37" t="s">
        <v>0</v>
      </c>
      <c r="E14" s="181">
        <f>'FY21'!S8</f>
        <v>359250.00249599997</v>
      </c>
      <c r="F14" s="181"/>
      <c r="G14" s="181">
        <f>'FY22'!S8</f>
        <v>377212.50262079999</v>
      </c>
      <c r="H14" s="181"/>
      <c r="I14" s="181">
        <f>'FY23'!S8</f>
        <v>388528.87769942393</v>
      </c>
      <c r="J14" s="181"/>
      <c r="K14" s="181">
        <f>'FY24'!S8</f>
        <v>400184.74403040658</v>
      </c>
      <c r="L14" s="181"/>
      <c r="M14" s="181">
        <f>'FY25'!S8</f>
        <v>412190.28635131882</v>
      </c>
    </row>
    <row r="15" spans="1:13" s="37" customFormat="1" ht="12" x14ac:dyDescent="0.2">
      <c r="B15" s="86"/>
      <c r="C15" s="206">
        <v>1120</v>
      </c>
      <c r="D15" s="37" t="s">
        <v>1</v>
      </c>
      <c r="E15" s="181">
        <f>'FY21'!S9</f>
        <v>394630.68456000002</v>
      </c>
      <c r="F15" s="181"/>
      <c r="G15" s="181">
        <f>'FY22'!S9</f>
        <v>414362.21878799994</v>
      </c>
      <c r="H15" s="181"/>
      <c r="I15" s="181">
        <f>'FY23'!S9</f>
        <v>426793.08535164013</v>
      </c>
      <c r="J15" s="181"/>
      <c r="K15" s="181">
        <f>'FY24'!S9</f>
        <v>439596.87791218929</v>
      </c>
      <c r="L15" s="181"/>
      <c r="M15" s="181">
        <f>'FY25'!S9</f>
        <v>452784.78424955503</v>
      </c>
    </row>
    <row r="16" spans="1:13" s="37" customFormat="1" ht="12" x14ac:dyDescent="0.2">
      <c r="B16" s="86"/>
      <c r="C16" s="206">
        <v>1191</v>
      </c>
      <c r="D16" s="37" t="s">
        <v>2</v>
      </c>
      <c r="E16" s="181">
        <f>'FY21'!S10</f>
        <v>1360.795464</v>
      </c>
      <c r="F16" s="181"/>
      <c r="G16" s="181">
        <f>'FY22'!S10</f>
        <v>1428.8352371999995</v>
      </c>
      <c r="H16" s="181"/>
      <c r="I16" s="181">
        <f>'FY23'!S10</f>
        <v>1471.7002943160001</v>
      </c>
      <c r="J16" s="181"/>
      <c r="K16" s="181">
        <f>'FY24'!S10</f>
        <v>1515.85130314548</v>
      </c>
      <c r="L16" s="181"/>
      <c r="M16" s="181">
        <f>'FY25'!S10</f>
        <v>1561.3268422398448</v>
      </c>
    </row>
    <row r="17" spans="2:13" s="37" customFormat="1" ht="12" x14ac:dyDescent="0.2">
      <c r="B17" s="86"/>
      <c r="C17" s="206">
        <v>1192</v>
      </c>
      <c r="D17" s="37" t="s">
        <v>3</v>
      </c>
      <c r="E17" s="181">
        <f>'FY21'!S11</f>
        <v>42184.659384000006</v>
      </c>
      <c r="F17" s="181"/>
      <c r="G17" s="181">
        <f>'FY22'!S11</f>
        <v>44293.89235319999</v>
      </c>
      <c r="H17" s="181"/>
      <c r="I17" s="181">
        <f>'FY23'!S11</f>
        <v>45622.709123796012</v>
      </c>
      <c r="J17" s="181"/>
      <c r="K17" s="181">
        <f>'FY24'!S11</f>
        <v>46991.39039750988</v>
      </c>
      <c r="L17" s="181"/>
      <c r="M17" s="181">
        <f>'FY25'!S11</f>
        <v>48401.132109435181</v>
      </c>
    </row>
    <row r="18" spans="2:13" s="37" customFormat="1" ht="12" x14ac:dyDescent="0.2">
      <c r="B18" s="86"/>
      <c r="C18" s="206">
        <v>3110</v>
      </c>
      <c r="D18" s="37" t="s">
        <v>73</v>
      </c>
      <c r="E18" s="181">
        <f>'FY21'!S12</f>
        <v>563369.32209599984</v>
      </c>
      <c r="F18" s="181"/>
      <c r="G18" s="181">
        <f>'FY22'!S12</f>
        <v>591537.78820079996</v>
      </c>
      <c r="H18" s="181"/>
      <c r="I18" s="181">
        <f>'FY23'!S12</f>
        <v>609283.92184682388</v>
      </c>
      <c r="J18" s="181"/>
      <c r="K18" s="181">
        <f>'FY24'!S12</f>
        <v>627562.43950222863</v>
      </c>
      <c r="L18" s="181"/>
      <c r="M18" s="181">
        <f>'FY25'!S12</f>
        <v>646389.31268729572</v>
      </c>
    </row>
    <row r="19" spans="2:13" s="37" customFormat="1" ht="12" x14ac:dyDescent="0.2">
      <c r="B19" s="86"/>
      <c r="C19" s="38"/>
      <c r="E19" s="50">
        <f>SUBTOTAL(9,E14:E18)</f>
        <v>1360795.4639999997</v>
      </c>
      <c r="F19" s="39"/>
      <c r="G19" s="50">
        <f>SUBTOTAL(9,G14:G18)</f>
        <v>1428835.2371999999</v>
      </c>
      <c r="H19" s="39"/>
      <c r="I19" s="50">
        <f>SUBTOTAL(9,I14:I18)</f>
        <v>1471700.2943159998</v>
      </c>
      <c r="J19" s="39"/>
      <c r="K19" s="50">
        <f>SUBTOTAL(9,K14:K18)</f>
        <v>1515851.3031454799</v>
      </c>
      <c r="L19" s="39"/>
      <c r="M19" s="50">
        <f>SUBTOTAL(9,M14:M18)</f>
        <v>1561326.8422398446</v>
      </c>
    </row>
    <row r="20" spans="2:13" s="37" customFormat="1" ht="12" x14ac:dyDescent="0.2">
      <c r="B20" s="86"/>
      <c r="C20" s="49" t="s">
        <v>170</v>
      </c>
      <c r="E20" s="39"/>
      <c r="F20" s="39"/>
      <c r="G20" s="39"/>
      <c r="H20" s="39"/>
      <c r="I20" s="39"/>
      <c r="J20" s="39"/>
      <c r="K20" s="39"/>
      <c r="L20" s="39"/>
      <c r="M20" s="39"/>
    </row>
    <row r="21" spans="2:13" s="37" customFormat="1" ht="12" x14ac:dyDescent="0.2">
      <c r="B21" s="86"/>
      <c r="C21" s="200">
        <v>3115</v>
      </c>
      <c r="D21" s="37" t="s">
        <v>5</v>
      </c>
      <c r="E21" s="39">
        <f>'FY21'!S15</f>
        <v>0</v>
      </c>
      <c r="F21" s="39"/>
      <c r="G21" s="39">
        <f>'FY22'!S15</f>
        <v>0</v>
      </c>
      <c r="H21" s="39"/>
      <c r="I21" s="39">
        <f>'FY23'!S15</f>
        <v>0</v>
      </c>
      <c r="J21" s="39"/>
      <c r="K21" s="39">
        <f>'FY24'!S15</f>
        <v>0</v>
      </c>
      <c r="L21" s="39"/>
      <c r="M21" s="39">
        <f>'FY25'!S15</f>
        <v>0</v>
      </c>
    </row>
    <row r="22" spans="2:13" s="37" customFormat="1" ht="12" x14ac:dyDescent="0.2">
      <c r="B22" s="86"/>
      <c r="C22" s="200">
        <v>3200</v>
      </c>
      <c r="D22" s="37" t="s">
        <v>6</v>
      </c>
      <c r="E22" s="39">
        <f>'FY21'!S16</f>
        <v>384</v>
      </c>
      <c r="F22" s="39"/>
      <c r="G22" s="39">
        <f>'FY22'!S16</f>
        <v>0</v>
      </c>
      <c r="H22" s="39"/>
      <c r="I22" s="39">
        <f>'FY23'!S16</f>
        <v>0</v>
      </c>
      <c r="J22" s="39"/>
      <c r="K22" s="39">
        <f>'FY24'!S16</f>
        <v>0</v>
      </c>
      <c r="L22" s="39"/>
      <c r="M22" s="39">
        <f>'FY25'!S16</f>
        <v>0</v>
      </c>
    </row>
    <row r="23" spans="2:13" s="37" customFormat="1" ht="12" x14ac:dyDescent="0.2">
      <c r="B23" s="86"/>
      <c r="C23" s="38"/>
      <c r="E23" s="50">
        <f>SUBTOTAL(9,E21:E22)</f>
        <v>384</v>
      </c>
      <c r="F23" s="39"/>
      <c r="G23" s="50">
        <f>SUBTOTAL(9,G21:G22)</f>
        <v>0</v>
      </c>
      <c r="H23" s="39"/>
      <c r="I23" s="50">
        <f>SUBTOTAL(9,I21:I22)</f>
        <v>0</v>
      </c>
      <c r="J23" s="39"/>
      <c r="K23" s="50">
        <f>SUBTOTAL(9,K21:K22)</f>
        <v>0</v>
      </c>
      <c r="L23" s="39"/>
      <c r="M23" s="50">
        <f>SUBTOTAL(9,M21:M22)</f>
        <v>0</v>
      </c>
    </row>
    <row r="24" spans="2:13" s="37" customFormat="1" ht="12" x14ac:dyDescent="0.2">
      <c r="B24" s="86"/>
      <c r="C24" s="49" t="s">
        <v>148</v>
      </c>
      <c r="E24" s="39"/>
      <c r="F24" s="39"/>
      <c r="G24" s="39"/>
      <c r="H24" s="39"/>
      <c r="I24" s="39"/>
      <c r="J24" s="39"/>
      <c r="K24" s="39"/>
      <c r="L24" s="39"/>
      <c r="M24" s="39"/>
    </row>
    <row r="25" spans="2:13" s="37" customFormat="1" ht="12" x14ac:dyDescent="0.2">
      <c r="B25" s="86"/>
      <c r="C25" s="200">
        <v>4500</v>
      </c>
      <c r="D25" s="37" t="s">
        <v>6</v>
      </c>
      <c r="E25" s="41">
        <f>'FY21'!S19</f>
        <v>0</v>
      </c>
      <c r="F25" s="41"/>
      <c r="G25" s="39">
        <f>'FY22'!S19</f>
        <v>0</v>
      </c>
      <c r="H25" s="39"/>
      <c r="I25" s="39">
        <f>'FY23'!S19</f>
        <v>0</v>
      </c>
      <c r="J25" s="39"/>
      <c r="K25" s="39">
        <f>'FY24'!S19</f>
        <v>0</v>
      </c>
      <c r="L25" s="39"/>
      <c r="M25" s="39">
        <f>'FY25'!S19</f>
        <v>0</v>
      </c>
    </row>
    <row r="26" spans="2:13" s="37" customFormat="1" ht="12" x14ac:dyDescent="0.2">
      <c r="B26" s="86"/>
      <c r="C26" s="200">
        <v>4571</v>
      </c>
      <c r="D26" s="37" t="s">
        <v>7</v>
      </c>
      <c r="E26" s="41">
        <f>'FY21'!S20</f>
        <v>0</v>
      </c>
      <c r="F26" s="41"/>
      <c r="G26" s="39">
        <f>'FY22'!S20</f>
        <v>0</v>
      </c>
      <c r="H26" s="39"/>
      <c r="I26" s="39">
        <f>'FY23'!S20</f>
        <v>0</v>
      </c>
      <c r="J26" s="39"/>
      <c r="K26" s="39">
        <f>'FY24'!S20</f>
        <v>0</v>
      </c>
      <c r="L26" s="39"/>
      <c r="M26" s="39">
        <f>'FY25'!S20</f>
        <v>0</v>
      </c>
    </row>
    <row r="27" spans="2:13" s="37" customFormat="1" ht="12" x14ac:dyDescent="0.2">
      <c r="B27" s="86"/>
      <c r="C27" s="200">
        <v>4703</v>
      </c>
      <c r="D27" s="37" t="s">
        <v>185</v>
      </c>
      <c r="E27" s="41">
        <f>'FY21'!S21</f>
        <v>0</v>
      </c>
      <c r="F27" s="41"/>
      <c r="G27" s="39">
        <f>'FY22'!S21</f>
        <v>0</v>
      </c>
      <c r="H27" s="39"/>
      <c r="I27" s="39">
        <f>'FY23'!S21</f>
        <v>0</v>
      </c>
      <c r="J27" s="39"/>
      <c r="K27" s="39">
        <f>'FY24'!S21</f>
        <v>0</v>
      </c>
      <c r="L27" s="39"/>
      <c r="M27" s="39">
        <f>'FY25'!S21</f>
        <v>0</v>
      </c>
    </row>
    <row r="28" spans="2:13" s="37" customFormat="1" ht="12" x14ac:dyDescent="0.2">
      <c r="B28" s="86"/>
      <c r="C28" s="38"/>
      <c r="E28" s="50">
        <f>SUBTOTAL(9,E25:E27)</f>
        <v>0</v>
      </c>
      <c r="F28" s="39"/>
      <c r="G28" s="50">
        <f>SUBTOTAL(9,G25:G27)</f>
        <v>0</v>
      </c>
      <c r="H28" s="39"/>
      <c r="I28" s="50">
        <f>SUBTOTAL(9,I25:I27)</f>
        <v>0</v>
      </c>
      <c r="J28" s="39"/>
      <c r="K28" s="50">
        <f>SUBTOTAL(9,K25:K27)</f>
        <v>0</v>
      </c>
      <c r="L28" s="39"/>
      <c r="M28" s="50">
        <f>SUBTOTAL(9,M25:M27)</f>
        <v>0</v>
      </c>
    </row>
    <row r="29" spans="2:13" s="37" customFormat="1" ht="12" x14ac:dyDescent="0.2">
      <c r="B29" s="86"/>
      <c r="C29" s="49" t="s">
        <v>149</v>
      </c>
      <c r="E29" s="41"/>
      <c r="F29" s="39"/>
      <c r="G29" s="41"/>
      <c r="H29" s="39"/>
      <c r="I29" s="41"/>
      <c r="J29" s="39"/>
      <c r="K29" s="41"/>
      <c r="L29" s="39"/>
      <c r="M29" s="41"/>
    </row>
    <row r="30" spans="2:13" s="37" customFormat="1" ht="12" x14ac:dyDescent="0.2">
      <c r="B30" s="86"/>
      <c r="C30" s="200">
        <v>1790</v>
      </c>
      <c r="D30" s="37" t="s">
        <v>4</v>
      </c>
      <c r="E30" s="39">
        <f>'FY21'!S24</f>
        <v>0</v>
      </c>
      <c r="F30" s="39"/>
      <c r="G30" s="39">
        <f>'FY22'!S24</f>
        <v>0</v>
      </c>
      <c r="H30" s="39"/>
      <c r="I30" s="39">
        <f>'FY23'!S24</f>
        <v>0</v>
      </c>
      <c r="J30" s="39"/>
      <c r="K30" s="39">
        <f>'FY24'!S24</f>
        <v>0</v>
      </c>
      <c r="L30" s="39"/>
      <c r="M30" s="39">
        <f>'FY25'!S24</f>
        <v>0</v>
      </c>
    </row>
    <row r="31" spans="2:13" s="37" customFormat="1" ht="12" x14ac:dyDescent="0.2">
      <c r="B31" s="86"/>
      <c r="C31" s="38"/>
      <c r="E31" s="50">
        <f>SUBTOTAL(9,E30)</f>
        <v>0</v>
      </c>
      <c r="F31" s="39"/>
      <c r="G31" s="50">
        <f>SUBTOTAL(9,G30)</f>
        <v>0</v>
      </c>
      <c r="H31" s="39"/>
      <c r="I31" s="50">
        <f>SUBTOTAL(9,I30)</f>
        <v>0</v>
      </c>
      <c r="J31" s="39"/>
      <c r="K31" s="50">
        <f>SUBTOTAL(9,K30)</f>
        <v>0</v>
      </c>
      <c r="L31" s="39"/>
      <c r="M31" s="50">
        <f>SUBTOTAL(9,M30)</f>
        <v>0</v>
      </c>
    </row>
    <row r="32" spans="2:13" s="37" customFormat="1" ht="9" customHeight="1" x14ac:dyDescent="0.2">
      <c r="B32" s="86"/>
      <c r="C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2:13" s="45" customFormat="1" ht="12" x14ac:dyDescent="0.2">
      <c r="B33" s="45" t="s">
        <v>105</v>
      </c>
      <c r="C33" s="46"/>
      <c r="E33" s="43">
        <f>SUBTOTAL(9,E14:E32)</f>
        <v>1361179.4639999997</v>
      </c>
      <c r="F33" s="40"/>
      <c r="G33" s="43">
        <f>SUBTOTAL(9,G14:G32)</f>
        <v>1428835.2371999999</v>
      </c>
      <c r="H33" s="40"/>
      <c r="I33" s="43">
        <f>SUBTOTAL(9,I14:I32)</f>
        <v>1471700.2943159998</v>
      </c>
      <c r="J33" s="40"/>
      <c r="K33" s="43">
        <f>SUBTOTAL(9,K14:K32)</f>
        <v>1515851.3031454799</v>
      </c>
      <c r="L33" s="40"/>
      <c r="M33" s="43">
        <f>SUBTOTAL(9,M14:M32)</f>
        <v>1561326.8422398446</v>
      </c>
    </row>
    <row r="34" spans="2:13" s="45" customFormat="1" ht="12" x14ac:dyDescent="0.2">
      <c r="B34" s="87"/>
      <c r="C34" s="46"/>
      <c r="E34" s="40"/>
      <c r="F34" s="40"/>
      <c r="G34" s="40"/>
      <c r="H34" s="40"/>
      <c r="I34" s="40"/>
      <c r="J34" s="40"/>
      <c r="K34" s="40"/>
      <c r="L34" s="40"/>
      <c r="M34" s="40"/>
    </row>
    <row r="35" spans="2:13" s="37" customFormat="1" ht="12" x14ac:dyDescent="0.2">
      <c r="B35" s="45" t="s">
        <v>59</v>
      </c>
      <c r="C35" s="38"/>
      <c r="E35" s="39"/>
      <c r="F35" s="39"/>
      <c r="G35" s="39"/>
      <c r="H35" s="39"/>
      <c r="I35" s="39"/>
      <c r="J35" s="39"/>
      <c r="K35" s="39"/>
      <c r="L35" s="39"/>
      <c r="M35" s="39"/>
    </row>
    <row r="36" spans="2:13" s="37" customFormat="1" ht="12" x14ac:dyDescent="0.2">
      <c r="B36" s="86"/>
      <c r="C36" s="49" t="s">
        <v>8</v>
      </c>
      <c r="E36" s="39"/>
      <c r="F36" s="39"/>
      <c r="G36" s="39"/>
      <c r="H36" s="39"/>
      <c r="I36" s="39"/>
      <c r="J36" s="39"/>
      <c r="K36" s="39"/>
      <c r="L36" s="39"/>
      <c r="M36" s="39"/>
    </row>
    <row r="37" spans="2:13" s="37" customFormat="1" ht="12" x14ac:dyDescent="0.2">
      <c r="B37" s="86"/>
      <c r="C37" s="200">
        <v>6111</v>
      </c>
      <c r="D37" s="37" t="s">
        <v>191</v>
      </c>
      <c r="E37" s="39">
        <f>'FY21'!S31</f>
        <v>109442.56499999999</v>
      </c>
      <c r="F37" s="39"/>
      <c r="G37" s="39">
        <f>'FY22'!S31</f>
        <v>111631.41630000003</v>
      </c>
      <c r="H37" s="39"/>
      <c r="I37" s="39">
        <f>'FY23'!S31</f>
        <v>113864.04462600005</v>
      </c>
      <c r="J37" s="39"/>
      <c r="K37" s="39">
        <f>'FY24'!S31</f>
        <v>116141.32551851998</v>
      </c>
      <c r="L37" s="39"/>
      <c r="M37" s="39">
        <f>'FY25'!S31</f>
        <v>118464.15202889043</v>
      </c>
    </row>
    <row r="38" spans="2:13" s="37" customFormat="1" ht="12" x14ac:dyDescent="0.2">
      <c r="B38" s="86"/>
      <c r="C38" s="200">
        <v>6114</v>
      </c>
      <c r="D38" s="37" t="s">
        <v>232</v>
      </c>
      <c r="E38" s="39">
        <f>'FY21'!S32</f>
        <v>98381.25</v>
      </c>
      <c r="F38" s="39"/>
      <c r="G38" s="39">
        <f>'FY22'!S32</f>
        <v>100348.875</v>
      </c>
      <c r="H38" s="39"/>
      <c r="I38" s="39">
        <f>'FY23'!S32</f>
        <v>102355.85249999999</v>
      </c>
      <c r="J38" s="39"/>
      <c r="K38" s="39">
        <f>'FY24'!S32</f>
        <v>104402.96955000002</v>
      </c>
      <c r="L38" s="39"/>
      <c r="M38" s="39">
        <f>'FY25'!S32</f>
        <v>106491.028941</v>
      </c>
    </row>
    <row r="39" spans="2:13" s="37" customFormat="1" ht="12" x14ac:dyDescent="0.2">
      <c r="B39" s="86"/>
      <c r="C39" s="200">
        <v>6117</v>
      </c>
      <c r="D39" s="37" t="s">
        <v>228</v>
      </c>
      <c r="E39" s="39">
        <f>'FY21'!S33</f>
        <v>46081.079999999987</v>
      </c>
      <c r="F39" s="39"/>
      <c r="G39" s="39">
        <f>'FY22'!S33</f>
        <v>47002.701599999993</v>
      </c>
      <c r="H39" s="39"/>
      <c r="I39" s="39">
        <f>'FY23'!S33</f>
        <v>47942.755632000015</v>
      </c>
      <c r="J39" s="39"/>
      <c r="K39" s="39">
        <f>'FY24'!S33</f>
        <v>48901.610744640006</v>
      </c>
      <c r="L39" s="39"/>
      <c r="M39" s="39">
        <f>'FY25'!S33</f>
        <v>49879.642959532815</v>
      </c>
    </row>
    <row r="40" spans="2:13" s="37" customFormat="1" ht="12" x14ac:dyDescent="0.2">
      <c r="B40" s="86"/>
      <c r="C40" s="200">
        <v>6127</v>
      </c>
      <c r="D40" s="37" t="s">
        <v>229</v>
      </c>
      <c r="E40" s="39">
        <f>'FY21'!S34</f>
        <v>39520</v>
      </c>
      <c r="F40" s="39"/>
      <c r="G40" s="39">
        <f>'FY22'!S34</f>
        <v>40310.399999999994</v>
      </c>
      <c r="H40" s="39"/>
      <c r="I40" s="39">
        <f>'FY23'!S34</f>
        <v>41116.608000000007</v>
      </c>
      <c r="J40" s="39"/>
      <c r="K40" s="39">
        <f>'FY24'!S34</f>
        <v>41938.940159999998</v>
      </c>
      <c r="L40" s="39"/>
      <c r="M40" s="39">
        <f>'FY25'!S34</f>
        <v>42777.718963200015</v>
      </c>
    </row>
    <row r="41" spans="2:13" s="37" customFormat="1" ht="12" x14ac:dyDescent="0.2">
      <c r="B41" s="86"/>
      <c r="C41" s="200">
        <v>6151</v>
      </c>
      <c r="D41" s="37" t="s">
        <v>189</v>
      </c>
      <c r="E41" s="39">
        <f>'FY21'!S35</f>
        <v>6000</v>
      </c>
      <c r="F41" s="39"/>
      <c r="G41" s="39">
        <f>'FY22'!S35</f>
        <v>6120</v>
      </c>
      <c r="H41" s="39"/>
      <c r="I41" s="39">
        <f>'FY23'!S35</f>
        <v>6242.4000000000005</v>
      </c>
      <c r="J41" s="39"/>
      <c r="K41" s="39">
        <f>'FY24'!S35</f>
        <v>6367.2480000000005</v>
      </c>
      <c r="L41" s="39"/>
      <c r="M41" s="39">
        <f>'FY25'!S35</f>
        <v>6494.5929600000009</v>
      </c>
    </row>
    <row r="42" spans="2:13" s="37" customFormat="1" ht="12" x14ac:dyDescent="0.2">
      <c r="B42" s="86"/>
      <c r="C42" s="200">
        <v>6154</v>
      </c>
      <c r="D42" s="37" t="s">
        <v>233</v>
      </c>
      <c r="E42" s="39">
        <f>'FY21'!S36</f>
        <v>6895</v>
      </c>
      <c r="F42" s="39"/>
      <c r="G42" s="39">
        <f>'FY22'!S36</f>
        <v>7032.9000000000005</v>
      </c>
      <c r="H42" s="39"/>
      <c r="I42" s="39">
        <f>'FY23'!S36</f>
        <v>7173.5580000000009</v>
      </c>
      <c r="J42" s="39"/>
      <c r="K42" s="39">
        <f>'FY24'!S36</f>
        <v>7317.02916</v>
      </c>
      <c r="L42" s="39"/>
      <c r="M42" s="39">
        <f>'FY25'!S36</f>
        <v>7463.3697432000008</v>
      </c>
    </row>
    <row r="43" spans="2:13" s="37" customFormat="1" ht="12" x14ac:dyDescent="0.2">
      <c r="B43" s="86"/>
      <c r="C43" s="200">
        <v>6157</v>
      </c>
      <c r="D43" s="37" t="s">
        <v>230</v>
      </c>
      <c r="E43" s="39">
        <f>'FY21'!S37</f>
        <v>3000</v>
      </c>
      <c r="F43" s="39"/>
      <c r="G43" s="39">
        <f>'FY22'!S37</f>
        <v>3060</v>
      </c>
      <c r="H43" s="39"/>
      <c r="I43" s="39">
        <f>'FY23'!S37</f>
        <v>3121.2000000000003</v>
      </c>
      <c r="J43" s="39"/>
      <c r="K43" s="39">
        <f>'FY24'!S37</f>
        <v>3183.6240000000003</v>
      </c>
      <c r="L43" s="39"/>
      <c r="M43" s="39">
        <f>'FY25'!S37</f>
        <v>3247.2964800000004</v>
      </c>
    </row>
    <row r="44" spans="2:13" s="37" customFormat="1" ht="12" x14ac:dyDescent="0.2">
      <c r="B44" s="86"/>
      <c r="C44" s="200">
        <v>6161</v>
      </c>
      <c r="D44" s="37" t="s">
        <v>97</v>
      </c>
      <c r="E44" s="39">
        <f>'FY21'!S38</f>
        <v>1200</v>
      </c>
      <c r="F44" s="39"/>
      <c r="G44" s="39">
        <f>'FY22'!S38</f>
        <v>1224</v>
      </c>
      <c r="H44" s="39"/>
      <c r="I44" s="39">
        <f>'FY23'!S38</f>
        <v>1248.48</v>
      </c>
      <c r="J44" s="39"/>
      <c r="K44" s="39">
        <f>'FY24'!S38</f>
        <v>1273.4496000000001</v>
      </c>
      <c r="L44" s="39"/>
      <c r="M44" s="39">
        <f>'FY25'!S38</f>
        <v>1298.9185920000002</v>
      </c>
    </row>
    <row r="45" spans="2:13" s="37" customFormat="1" ht="12" x14ac:dyDescent="0.2">
      <c r="B45" s="86"/>
      <c r="C45" s="200">
        <v>6164</v>
      </c>
      <c r="D45" s="37" t="s">
        <v>202</v>
      </c>
      <c r="E45" s="39">
        <f>'FY21'!S39</f>
        <v>1000</v>
      </c>
      <c r="F45" s="39"/>
      <c r="G45" s="39">
        <f>'FY22'!S39</f>
        <v>1020</v>
      </c>
      <c r="H45" s="39"/>
      <c r="I45" s="39">
        <f>'FY23'!S39</f>
        <v>1040.4000000000001</v>
      </c>
      <c r="J45" s="39"/>
      <c r="K45" s="39">
        <f>'FY24'!S39</f>
        <v>1061.2080000000001</v>
      </c>
      <c r="L45" s="39"/>
      <c r="M45" s="39">
        <f>'FY25'!S39</f>
        <v>1082.4321600000001</v>
      </c>
    </row>
    <row r="46" spans="2:13" s="37" customFormat="1" ht="12" x14ac:dyDescent="0.2">
      <c r="B46" s="86"/>
      <c r="C46" s="200">
        <v>6167</v>
      </c>
      <c r="D46" s="37" t="s">
        <v>231</v>
      </c>
      <c r="E46" s="39">
        <f>'FY21'!S40</f>
        <v>600</v>
      </c>
      <c r="F46" s="39"/>
      <c r="G46" s="39">
        <f>'FY22'!S40</f>
        <v>612</v>
      </c>
      <c r="H46" s="39"/>
      <c r="I46" s="39">
        <f>'FY23'!S40</f>
        <v>624.24</v>
      </c>
      <c r="J46" s="39"/>
      <c r="K46" s="39">
        <f>'FY24'!S40</f>
        <v>636.72480000000007</v>
      </c>
      <c r="L46" s="39"/>
      <c r="M46" s="39">
        <f>'FY25'!S40</f>
        <v>649.45929600000011</v>
      </c>
    </row>
    <row r="47" spans="2:13" s="37" customFormat="1" ht="12" x14ac:dyDescent="0.2">
      <c r="B47" s="86"/>
      <c r="C47" s="38"/>
      <c r="E47" s="50">
        <f>SUBTOTAL(9,E37:E46)</f>
        <v>312119.89500000002</v>
      </c>
      <c r="F47" s="39"/>
      <c r="G47" s="50">
        <f>SUBTOTAL(9,G37:G46)</f>
        <v>318362.29290000006</v>
      </c>
      <c r="H47" s="39"/>
      <c r="I47" s="50">
        <f>SUBTOTAL(9,I37:I46)</f>
        <v>324729.53875800013</v>
      </c>
      <c r="J47" s="39"/>
      <c r="K47" s="50">
        <f>SUBTOTAL(9,K37:K46)</f>
        <v>331224.12953316001</v>
      </c>
      <c r="L47" s="39"/>
      <c r="M47" s="50">
        <f>SUBTOTAL(9,M37:M46)</f>
        <v>337848.61212382326</v>
      </c>
    </row>
    <row r="48" spans="2:13" s="37" customFormat="1" ht="12" x14ac:dyDescent="0.2">
      <c r="B48" s="86"/>
      <c r="C48" s="49" t="s">
        <v>99</v>
      </c>
      <c r="E48" s="39"/>
      <c r="F48" s="39"/>
      <c r="G48" s="39"/>
      <c r="H48" s="39"/>
      <c r="I48" s="39"/>
      <c r="J48" s="39"/>
      <c r="K48" s="39"/>
      <c r="L48" s="39"/>
      <c r="M48" s="39"/>
    </row>
    <row r="49" spans="2:13" s="37" customFormat="1" ht="12" x14ac:dyDescent="0.2">
      <c r="B49" s="86"/>
      <c r="C49" s="200">
        <v>6211</v>
      </c>
      <c r="D49" s="37" t="s">
        <v>198</v>
      </c>
      <c r="E49" s="39">
        <f>'FY21'!S43</f>
        <v>888</v>
      </c>
      <c r="F49" s="39"/>
      <c r="G49" s="39">
        <f>'FY22'!S43</f>
        <v>905.7600000000001</v>
      </c>
      <c r="H49" s="39"/>
      <c r="I49" s="39">
        <f>'FY23'!S43</f>
        <v>923.87520000000006</v>
      </c>
      <c r="J49" s="39"/>
      <c r="K49" s="39">
        <f>'FY24'!S43</f>
        <v>942.35270400000024</v>
      </c>
      <c r="L49" s="39"/>
      <c r="M49" s="39">
        <f>'FY25'!S43</f>
        <v>961.19975808000038</v>
      </c>
    </row>
    <row r="50" spans="2:13" s="37" customFormat="1" ht="12" x14ac:dyDescent="0.2">
      <c r="B50" s="86"/>
      <c r="C50" s="200">
        <v>6214</v>
      </c>
      <c r="D50" s="37" t="s">
        <v>199</v>
      </c>
      <c r="E50" s="39">
        <f>'FY21'!S44</f>
        <v>444</v>
      </c>
      <c r="F50" s="39"/>
      <c r="G50" s="39">
        <f>'FY22'!S44</f>
        <v>452.88000000000005</v>
      </c>
      <c r="H50" s="39"/>
      <c r="I50" s="39">
        <f>'FY23'!S44</f>
        <v>461.93760000000003</v>
      </c>
      <c r="J50" s="39"/>
      <c r="K50" s="39">
        <f>'FY24'!S44</f>
        <v>471.17635200000012</v>
      </c>
      <c r="L50" s="39"/>
      <c r="M50" s="39">
        <f>'FY25'!S44</f>
        <v>480.59987904000019</v>
      </c>
    </row>
    <row r="51" spans="2:13" s="37" customFormat="1" ht="12" x14ac:dyDescent="0.2">
      <c r="B51" s="86"/>
      <c r="C51" s="200">
        <v>6217</v>
      </c>
      <c r="D51" s="37" t="s">
        <v>222</v>
      </c>
      <c r="E51" s="39">
        <f>'FY21'!S45</f>
        <v>444</v>
      </c>
      <c r="F51" s="39"/>
      <c r="G51" s="39">
        <f>'FY22'!S45</f>
        <v>452.88000000000005</v>
      </c>
      <c r="H51" s="39"/>
      <c r="I51" s="39">
        <f>'FY23'!S45</f>
        <v>461.93760000000003</v>
      </c>
      <c r="J51" s="39"/>
      <c r="K51" s="39">
        <f>'FY24'!S45</f>
        <v>471.17635200000012</v>
      </c>
      <c r="L51" s="39"/>
      <c r="M51" s="39">
        <f>'FY25'!S45</f>
        <v>480.59987904000019</v>
      </c>
    </row>
    <row r="52" spans="2:13" s="37" customFormat="1" ht="12" x14ac:dyDescent="0.2">
      <c r="B52" s="86"/>
      <c r="C52" s="200">
        <v>6227</v>
      </c>
      <c r="D52" s="37" t="s">
        <v>221</v>
      </c>
      <c r="E52" s="39">
        <f>'FY21'!S46</f>
        <v>2450.2400000000002</v>
      </c>
      <c r="F52" s="39"/>
      <c r="G52" s="39">
        <f>'FY22'!S46</f>
        <v>2499.244799999999</v>
      </c>
      <c r="H52" s="39"/>
      <c r="I52" s="39">
        <f>'FY23'!S46</f>
        <v>2549.2296960000003</v>
      </c>
      <c r="J52" s="39"/>
      <c r="K52" s="39">
        <f>'FY24'!S46</f>
        <v>2600.2142899199994</v>
      </c>
      <c r="L52" s="39"/>
      <c r="M52" s="39">
        <f>'FY25'!S46</f>
        <v>2652.2185757183997</v>
      </c>
    </row>
    <row r="53" spans="2:13" s="37" customFormat="1" ht="12" x14ac:dyDescent="0.2">
      <c r="B53" s="86"/>
      <c r="C53" s="200">
        <v>6231</v>
      </c>
      <c r="D53" s="37" t="s">
        <v>205</v>
      </c>
      <c r="E53" s="39">
        <f>'FY21'!S47</f>
        <v>16689.991162499999</v>
      </c>
      <c r="F53" s="39"/>
      <c r="G53" s="39">
        <f>'FY22'!S47</f>
        <v>17023.790985750002</v>
      </c>
      <c r="H53" s="39"/>
      <c r="I53" s="39">
        <f>'FY23'!S47</f>
        <v>17364.266805465002</v>
      </c>
      <c r="J53" s="39"/>
      <c r="K53" s="39">
        <f>'FY24'!S47</f>
        <v>17711.552141574306</v>
      </c>
      <c r="L53" s="39"/>
      <c r="M53" s="39">
        <f>'FY25'!S47</f>
        <v>18065.783184405791</v>
      </c>
    </row>
    <row r="54" spans="2:13" s="37" customFormat="1" ht="12" x14ac:dyDescent="0.2">
      <c r="B54" s="86"/>
      <c r="C54" s="200">
        <v>6234</v>
      </c>
      <c r="D54" s="37" t="s">
        <v>206</v>
      </c>
      <c r="E54" s="39">
        <f>'FY21'!S48</f>
        <v>28776.515625</v>
      </c>
      <c r="F54" s="39"/>
      <c r="G54" s="39">
        <f>'FY22'!S48</f>
        <v>29352.045937500006</v>
      </c>
      <c r="H54" s="39"/>
      <c r="I54" s="39">
        <f>'FY23'!S48</f>
        <v>29939.086856250007</v>
      </c>
      <c r="J54" s="39"/>
      <c r="K54" s="39">
        <f>'FY24'!S48</f>
        <v>30537.868593375006</v>
      </c>
      <c r="L54" s="39"/>
      <c r="M54" s="39">
        <f>'FY25'!S48</f>
        <v>31148.625965242503</v>
      </c>
    </row>
    <row r="55" spans="2:13" s="37" customFormat="1" ht="12" x14ac:dyDescent="0.2">
      <c r="B55" s="86"/>
      <c r="C55" s="200">
        <v>6237</v>
      </c>
      <c r="D55" s="37" t="s">
        <v>223</v>
      </c>
      <c r="E55" s="39">
        <f>'FY21'!S49</f>
        <v>7027.364700000001</v>
      </c>
      <c r="F55" s="39"/>
      <c r="G55" s="39">
        <f>'FY22'!S49</f>
        <v>7167.9119939999991</v>
      </c>
      <c r="H55" s="39"/>
      <c r="I55" s="39">
        <f>'FY23'!S49</f>
        <v>7311.2702338799972</v>
      </c>
      <c r="J55" s="39"/>
      <c r="K55" s="39">
        <f>'FY24'!S49</f>
        <v>7457.4956385575979</v>
      </c>
      <c r="L55" s="39"/>
      <c r="M55" s="39">
        <f>'FY25'!S49</f>
        <v>7606.6455513287501</v>
      </c>
    </row>
    <row r="56" spans="2:13" s="37" customFormat="1" ht="12" x14ac:dyDescent="0.2">
      <c r="B56" s="86"/>
      <c r="C56" s="200">
        <v>6241</v>
      </c>
      <c r="D56" s="37" t="s">
        <v>196</v>
      </c>
      <c r="E56" s="39">
        <f>'FY21'!S50</f>
        <v>1691.3171924999999</v>
      </c>
      <c r="F56" s="39"/>
      <c r="G56" s="39">
        <f>'FY22'!S50</f>
        <v>1725.1435363500002</v>
      </c>
      <c r="H56" s="39"/>
      <c r="I56" s="39">
        <f>'FY23'!S50</f>
        <v>1759.6464070770003</v>
      </c>
      <c r="J56" s="39"/>
      <c r="K56" s="39">
        <f>'FY24'!S50</f>
        <v>1794.8393352185408</v>
      </c>
      <c r="L56" s="39"/>
      <c r="M56" s="39">
        <f>'FY25'!S50</f>
        <v>1830.7361219229108</v>
      </c>
    </row>
    <row r="57" spans="2:13" s="37" customFormat="1" ht="12" x14ac:dyDescent="0.2">
      <c r="B57" s="86"/>
      <c r="C57" s="200">
        <v>6244</v>
      </c>
      <c r="D57" s="37" t="s">
        <v>197</v>
      </c>
      <c r="E57" s="39">
        <f>'FY21'!S51</f>
        <v>1541.005625</v>
      </c>
      <c r="F57" s="39"/>
      <c r="G57" s="39">
        <f>'FY22'!S51</f>
        <v>1571.8257374999998</v>
      </c>
      <c r="H57" s="39"/>
      <c r="I57" s="39">
        <f>'FY23'!S51</f>
        <v>1603.2622522500003</v>
      </c>
      <c r="J57" s="39"/>
      <c r="K57" s="39">
        <f>'FY24'!S51</f>
        <v>1635.3274972950001</v>
      </c>
      <c r="L57" s="39"/>
      <c r="M57" s="39">
        <f>'FY25'!S51</f>
        <v>1668.0340472409005</v>
      </c>
    </row>
    <row r="58" spans="2:13" s="37" customFormat="1" ht="12" x14ac:dyDescent="0.2">
      <c r="B58" s="86"/>
      <c r="C58" s="200">
        <v>6247</v>
      </c>
      <c r="D58" s="37" t="s">
        <v>224</v>
      </c>
      <c r="E58" s="39">
        <f>'FY21'!S52</f>
        <v>1293.4156600000003</v>
      </c>
      <c r="F58" s="39"/>
      <c r="G58" s="39">
        <f>'FY22'!S52</f>
        <v>1319.2839732000002</v>
      </c>
      <c r="H58" s="39"/>
      <c r="I58" s="39">
        <f>'FY23'!S52</f>
        <v>1345.6696526640001</v>
      </c>
      <c r="J58" s="39"/>
      <c r="K58" s="39">
        <f>'FY24'!S52</f>
        <v>1372.5830457172801</v>
      </c>
      <c r="L58" s="39"/>
      <c r="M58" s="39">
        <f>'FY25'!S52</f>
        <v>1400.034706631626</v>
      </c>
    </row>
    <row r="59" spans="2:13" s="37" customFormat="1" ht="12" x14ac:dyDescent="0.2">
      <c r="B59" s="86"/>
      <c r="C59" s="200">
        <v>6261</v>
      </c>
      <c r="D59" s="37" t="s">
        <v>207</v>
      </c>
      <c r="E59" s="39">
        <f>'FY21'!S53</f>
        <v>936</v>
      </c>
      <c r="F59" s="39"/>
      <c r="G59" s="39">
        <f>'FY22'!S53</f>
        <v>954.7199999999998</v>
      </c>
      <c r="H59" s="39"/>
      <c r="I59" s="39">
        <f>'FY23'!S53</f>
        <v>973.81440000000009</v>
      </c>
      <c r="J59" s="39"/>
      <c r="K59" s="39">
        <f>'FY24'!S53</f>
        <v>993.29068800000005</v>
      </c>
      <c r="L59" s="39"/>
      <c r="M59" s="39">
        <f>'FY25'!S53</f>
        <v>1013.1565017600002</v>
      </c>
    </row>
    <row r="60" spans="2:13" s="37" customFormat="1" ht="12" x14ac:dyDescent="0.2">
      <c r="B60" s="86"/>
      <c r="C60" s="200">
        <v>6264</v>
      </c>
      <c r="D60" s="37" t="s">
        <v>208</v>
      </c>
      <c r="E60" s="39">
        <f>'FY21'!S54</f>
        <v>468</v>
      </c>
      <c r="F60" s="39"/>
      <c r="G60" s="39">
        <f>'FY22'!S54</f>
        <v>477.3599999999999</v>
      </c>
      <c r="H60" s="39"/>
      <c r="I60" s="39">
        <f>'FY23'!S54</f>
        <v>486.90720000000005</v>
      </c>
      <c r="J60" s="39"/>
      <c r="K60" s="39">
        <f>'FY24'!S54</f>
        <v>496.64534400000002</v>
      </c>
      <c r="L60" s="39"/>
      <c r="M60" s="39">
        <f>'FY25'!S54</f>
        <v>506.5782508800001</v>
      </c>
    </row>
    <row r="61" spans="2:13" s="37" customFormat="1" ht="12" x14ac:dyDescent="0.2">
      <c r="B61" s="86"/>
      <c r="C61" s="200">
        <v>6267</v>
      </c>
      <c r="D61" s="37" t="s">
        <v>225</v>
      </c>
      <c r="E61" s="39">
        <f>'FY21'!S55</f>
        <v>1060.8</v>
      </c>
      <c r="F61" s="39"/>
      <c r="G61" s="39">
        <f>'FY22'!S55</f>
        <v>1082.0159999999998</v>
      </c>
      <c r="H61" s="39"/>
      <c r="I61" s="39">
        <f>'FY23'!S55</f>
        <v>1103.6563199999998</v>
      </c>
      <c r="J61" s="39"/>
      <c r="K61" s="39">
        <f>'FY24'!S55</f>
        <v>1125.7294464000001</v>
      </c>
      <c r="L61" s="39"/>
      <c r="M61" s="39">
        <f>'FY25'!S55</f>
        <v>1148.2440353280001</v>
      </c>
    </row>
    <row r="62" spans="2:13" s="37" customFormat="1" ht="12" x14ac:dyDescent="0.2">
      <c r="B62" s="86"/>
      <c r="C62" s="200">
        <v>6271</v>
      </c>
      <c r="D62" s="37" t="s">
        <v>209</v>
      </c>
      <c r="E62" s="39">
        <f>'FY21'!S56</f>
        <v>758.17667249999988</v>
      </c>
      <c r="F62" s="39"/>
      <c r="G62" s="39">
        <f>'FY22'!S56</f>
        <v>773.34020595000004</v>
      </c>
      <c r="H62" s="39"/>
      <c r="I62" s="39">
        <f>'FY23'!S56</f>
        <v>788.80701006900017</v>
      </c>
      <c r="J62" s="39"/>
      <c r="K62" s="39">
        <f>'FY24'!S56</f>
        <v>804.58315027037997</v>
      </c>
      <c r="L62" s="39"/>
      <c r="M62" s="39">
        <f>'FY25'!S56</f>
        <v>820.67481327578787</v>
      </c>
    </row>
    <row r="63" spans="2:13" s="37" customFormat="1" ht="12" x14ac:dyDescent="0.2">
      <c r="B63" s="86"/>
      <c r="C63" s="200">
        <v>6274</v>
      </c>
      <c r="D63" s="37" t="s">
        <v>210</v>
      </c>
      <c r="E63" s="39">
        <f>'FY21'!S57</f>
        <v>690.79562499999986</v>
      </c>
      <c r="F63" s="39"/>
      <c r="G63" s="39">
        <f>'FY22'!S57</f>
        <v>704.61153750000028</v>
      </c>
      <c r="H63" s="39"/>
      <c r="I63" s="39">
        <f>'FY23'!S57</f>
        <v>718.70376825000005</v>
      </c>
      <c r="J63" s="39"/>
      <c r="K63" s="39">
        <f>'FY24'!S57</f>
        <v>733.07784361500023</v>
      </c>
      <c r="L63" s="39"/>
      <c r="M63" s="39">
        <f>'FY25'!S57</f>
        <v>747.73940048730003</v>
      </c>
    </row>
    <row r="64" spans="2:13" s="37" customFormat="1" ht="12" x14ac:dyDescent="0.2">
      <c r="B64" s="86"/>
      <c r="C64" s="200">
        <v>6277</v>
      </c>
      <c r="D64" s="37" t="s">
        <v>226</v>
      </c>
      <c r="E64" s="39">
        <f>'FY21'!S58</f>
        <v>579.80701999999985</v>
      </c>
      <c r="F64" s="39"/>
      <c r="G64" s="39">
        <f>'FY22'!S58</f>
        <v>591.40316039999982</v>
      </c>
      <c r="H64" s="39"/>
      <c r="I64" s="39">
        <f>'FY23'!S58</f>
        <v>603.23122360800005</v>
      </c>
      <c r="J64" s="39"/>
      <c r="K64" s="39">
        <f>'FY24'!S58</f>
        <v>615.29584808015989</v>
      </c>
      <c r="L64" s="39"/>
      <c r="M64" s="39">
        <f>'FY25'!S58</f>
        <v>627.60176504176309</v>
      </c>
    </row>
    <row r="65" spans="2:13" s="37" customFormat="1" ht="12" x14ac:dyDescent="0.2">
      <c r="B65" s="86"/>
      <c r="C65" s="200">
        <v>6281</v>
      </c>
      <c r="D65" s="37" t="s">
        <v>193</v>
      </c>
      <c r="E65" s="39">
        <f>'FY21'!S59</f>
        <v>9720</v>
      </c>
      <c r="F65" s="39"/>
      <c r="G65" s="39">
        <f>'FY22'!S59</f>
        <v>9914.4000000000015</v>
      </c>
      <c r="H65" s="39"/>
      <c r="I65" s="39">
        <f>'FY23'!S59</f>
        <v>10112.688</v>
      </c>
      <c r="J65" s="39"/>
      <c r="K65" s="39">
        <f>'FY24'!S59</f>
        <v>10314.94176</v>
      </c>
      <c r="L65" s="39"/>
      <c r="M65" s="39">
        <f>'FY25'!S59</f>
        <v>10521.240595199999</v>
      </c>
    </row>
    <row r="66" spans="2:13" s="37" customFormat="1" ht="12" x14ac:dyDescent="0.2">
      <c r="B66" s="86"/>
      <c r="C66" s="200">
        <v>6284</v>
      </c>
      <c r="D66" s="37" t="s">
        <v>194</v>
      </c>
      <c r="E66" s="39">
        <f>'FY21'!S60</f>
        <v>4860</v>
      </c>
      <c r="F66" s="39"/>
      <c r="G66" s="39">
        <f>'FY22'!S60</f>
        <v>4957.2000000000007</v>
      </c>
      <c r="H66" s="39"/>
      <c r="I66" s="39">
        <f>'FY23'!S60</f>
        <v>5056.3440000000001</v>
      </c>
      <c r="J66" s="39"/>
      <c r="K66" s="39">
        <f>'FY24'!S60</f>
        <v>5157.4708799999999</v>
      </c>
      <c r="L66" s="39"/>
      <c r="M66" s="39">
        <f>'FY25'!S60</f>
        <v>5260.6202975999995</v>
      </c>
    </row>
    <row r="67" spans="2:13" s="37" customFormat="1" ht="12" x14ac:dyDescent="0.2">
      <c r="B67" s="86"/>
      <c r="C67" s="200">
        <v>6287</v>
      </c>
      <c r="D67" s="37" t="s">
        <v>227</v>
      </c>
      <c r="E67" s="39">
        <f>'FY21'!S61</f>
        <v>4860</v>
      </c>
      <c r="F67" s="39"/>
      <c r="G67" s="39">
        <f>'FY22'!S61</f>
        <v>4957.2000000000007</v>
      </c>
      <c r="H67" s="39"/>
      <c r="I67" s="39">
        <f>'FY23'!S61</f>
        <v>5056.3440000000001</v>
      </c>
      <c r="J67" s="39"/>
      <c r="K67" s="39">
        <f>'FY24'!S61</f>
        <v>5157.4708799999999</v>
      </c>
      <c r="L67" s="39"/>
      <c r="M67" s="39">
        <f>'FY25'!S61</f>
        <v>5260.6202975999995</v>
      </c>
    </row>
    <row r="68" spans="2:13" s="37" customFormat="1" ht="12" x14ac:dyDescent="0.2">
      <c r="B68" s="86"/>
      <c r="C68" s="38"/>
      <c r="E68" s="50">
        <f>SUBTOTAL(9,E49:E67)</f>
        <v>85179.429282499987</v>
      </c>
      <c r="F68" s="39"/>
      <c r="G68" s="50">
        <f>SUBTOTAL(9,G49:G67)</f>
        <v>86883.017868149997</v>
      </c>
      <c r="H68" s="39"/>
      <c r="I68" s="50">
        <f>SUBTOTAL(9,I49:I67)</f>
        <v>88620.678225512995</v>
      </c>
      <c r="J68" s="39"/>
      <c r="K68" s="50">
        <f>SUBTOTAL(9,K49:K67)</f>
        <v>90393.09179002326</v>
      </c>
      <c r="L68" s="39"/>
      <c r="M68" s="50">
        <f>SUBTOTAL(9,M49:M67)</f>
        <v>92200.953625823749</v>
      </c>
    </row>
    <row r="69" spans="2:13" s="37" customFormat="1" ht="12" x14ac:dyDescent="0.2">
      <c r="B69" s="86"/>
      <c r="C69" s="49" t="s">
        <v>9</v>
      </c>
      <c r="E69" s="222"/>
      <c r="F69" s="222"/>
      <c r="G69" s="222"/>
      <c r="H69" s="222"/>
      <c r="I69" s="222"/>
      <c r="J69" s="222"/>
      <c r="K69" s="222"/>
      <c r="L69" s="222"/>
      <c r="M69" s="222"/>
    </row>
    <row r="70" spans="2:13" s="37" customFormat="1" ht="12" x14ac:dyDescent="0.2">
      <c r="B70" s="86"/>
      <c r="C70" s="200">
        <v>6300</v>
      </c>
      <c r="D70" s="37" t="s">
        <v>9</v>
      </c>
      <c r="E70" s="39">
        <f>'FY21'!S64</f>
        <v>2310</v>
      </c>
      <c r="F70" s="39"/>
      <c r="G70" s="39">
        <f>'FY22'!S64</f>
        <v>6481.350000000004</v>
      </c>
      <c r="H70" s="39"/>
      <c r="I70" s="39">
        <f>'FY23'!S64</f>
        <v>6524.5470000000005</v>
      </c>
      <c r="J70" s="39"/>
      <c r="K70" s="39">
        <f>'FY24'!S64</f>
        <v>6568.6079400000017</v>
      </c>
      <c r="L70" s="39"/>
      <c r="M70" s="39">
        <f>'FY25'!S64</f>
        <v>6613.5500987999985</v>
      </c>
    </row>
    <row r="71" spans="2:13" s="37" customFormat="1" ht="12" x14ac:dyDescent="0.2">
      <c r="B71" s="86"/>
      <c r="C71" s="200">
        <v>6320</v>
      </c>
      <c r="D71" s="37" t="s">
        <v>10</v>
      </c>
      <c r="E71" s="39">
        <f>'FY21'!S65</f>
        <v>2500</v>
      </c>
      <c r="F71" s="39"/>
      <c r="G71" s="39">
        <f>'FY22'!S65</f>
        <v>2550</v>
      </c>
      <c r="H71" s="39"/>
      <c r="I71" s="39">
        <f>'FY23'!S65</f>
        <v>2601</v>
      </c>
      <c r="J71" s="39"/>
      <c r="K71" s="39">
        <f>'FY24'!S65</f>
        <v>2653.02</v>
      </c>
      <c r="L71" s="39"/>
      <c r="M71" s="39">
        <f>'FY25'!S65</f>
        <v>2706.0803999999994</v>
      </c>
    </row>
    <row r="72" spans="2:13" s="37" customFormat="1" ht="12" x14ac:dyDescent="0.2">
      <c r="B72" s="86"/>
      <c r="C72" s="200">
        <v>6334</v>
      </c>
      <c r="D72" s="37" t="s">
        <v>11</v>
      </c>
      <c r="E72" s="39">
        <f>'FY21'!S66</f>
        <v>1000.0000000000001</v>
      </c>
      <c r="F72" s="39"/>
      <c r="G72" s="39">
        <f>'FY22'!S66</f>
        <v>1020</v>
      </c>
      <c r="H72" s="39"/>
      <c r="I72" s="39">
        <f>'FY23'!S66</f>
        <v>1040.4000000000003</v>
      </c>
      <c r="J72" s="39"/>
      <c r="K72" s="39">
        <f>'FY24'!S66</f>
        <v>1061.2079999999999</v>
      </c>
      <c r="L72" s="39"/>
      <c r="M72" s="39">
        <f>'FY25'!S66</f>
        <v>1082.4321600000001</v>
      </c>
    </row>
    <row r="73" spans="2:13" s="37" customFormat="1" ht="12" x14ac:dyDescent="0.2">
      <c r="B73" s="86"/>
      <c r="C73" s="200">
        <v>6334</v>
      </c>
      <c r="D73" s="37" t="s">
        <v>12</v>
      </c>
      <c r="E73" s="39">
        <f>'FY21'!S67</f>
        <v>750</v>
      </c>
      <c r="F73" s="39"/>
      <c r="G73" s="39">
        <f>'FY22'!S67</f>
        <v>765</v>
      </c>
      <c r="H73" s="39"/>
      <c r="I73" s="39">
        <f>'FY23'!S67</f>
        <v>780.29999999999984</v>
      </c>
      <c r="J73" s="39"/>
      <c r="K73" s="39">
        <f>'FY24'!S67</f>
        <v>795.90600000000029</v>
      </c>
      <c r="L73" s="39"/>
      <c r="M73" s="39">
        <f>'FY25'!S67</f>
        <v>811.82412000000011</v>
      </c>
    </row>
    <row r="74" spans="2:13" s="37" customFormat="1" ht="12" x14ac:dyDescent="0.2">
      <c r="B74" s="86"/>
      <c r="C74" s="200">
        <v>6336</v>
      </c>
      <c r="D74" s="37" t="s">
        <v>13</v>
      </c>
      <c r="E74" s="39">
        <f>'FY21'!S68</f>
        <v>0</v>
      </c>
      <c r="F74" s="39"/>
      <c r="G74" s="39">
        <f>'FY22'!S68</f>
        <v>0</v>
      </c>
      <c r="H74" s="39"/>
      <c r="I74" s="39">
        <f>'FY23'!S68</f>
        <v>0</v>
      </c>
      <c r="J74" s="39"/>
      <c r="K74" s="39">
        <f>'FY24'!S68</f>
        <v>0</v>
      </c>
      <c r="L74" s="39"/>
      <c r="M74" s="39">
        <f>'FY25'!S68</f>
        <v>0</v>
      </c>
    </row>
    <row r="75" spans="2:13" s="37" customFormat="1" ht="12" x14ac:dyDescent="0.2">
      <c r="B75" s="86"/>
      <c r="C75" s="200">
        <v>6337</v>
      </c>
      <c r="D75" s="37" t="s">
        <v>14</v>
      </c>
      <c r="E75" s="39">
        <f>'FY21'!S69</f>
        <v>500.00000000000006</v>
      </c>
      <c r="F75" s="39"/>
      <c r="G75" s="39">
        <f>'FY22'!S69</f>
        <v>510</v>
      </c>
      <c r="H75" s="39"/>
      <c r="I75" s="39">
        <f>'FY23'!S69</f>
        <v>520.20000000000016</v>
      </c>
      <c r="J75" s="39"/>
      <c r="K75" s="39">
        <f>'FY24'!S69</f>
        <v>530.60399999999993</v>
      </c>
      <c r="L75" s="39"/>
      <c r="M75" s="39">
        <f>'FY25'!S69</f>
        <v>541.21608000000003</v>
      </c>
    </row>
    <row r="76" spans="2:13" s="37" customFormat="1" ht="12" x14ac:dyDescent="0.2">
      <c r="B76" s="86"/>
      <c r="C76" s="200">
        <v>6340</v>
      </c>
      <c r="D76" s="37" t="s">
        <v>15</v>
      </c>
      <c r="E76" s="39">
        <f>'FY21'!S70</f>
        <v>29160</v>
      </c>
      <c r="F76" s="39"/>
      <c r="G76" s="39">
        <f>'FY22'!S70</f>
        <v>29743.199999999993</v>
      </c>
      <c r="H76" s="39"/>
      <c r="I76" s="39">
        <f>'FY23'!S70</f>
        <v>30338.063999999995</v>
      </c>
      <c r="J76" s="39"/>
      <c r="K76" s="39">
        <f>'FY24'!S70</f>
        <v>30944.825280000001</v>
      </c>
      <c r="L76" s="39"/>
      <c r="M76" s="39">
        <f>'FY25'!S70</f>
        <v>31563.721785599995</v>
      </c>
    </row>
    <row r="77" spans="2:13" s="37" customFormat="1" ht="12" x14ac:dyDescent="0.2">
      <c r="B77" s="86"/>
      <c r="C77" s="200">
        <v>6345</v>
      </c>
      <c r="D77" s="37" t="s">
        <v>16</v>
      </c>
      <c r="E77" s="39">
        <f>'FY21'!S71</f>
        <v>0</v>
      </c>
      <c r="F77" s="39"/>
      <c r="G77" s="39">
        <f>'FY22'!S71</f>
        <v>0</v>
      </c>
      <c r="H77" s="39"/>
      <c r="I77" s="39">
        <f>'FY23'!S71</f>
        <v>0</v>
      </c>
      <c r="J77" s="39"/>
      <c r="K77" s="39">
        <f>'FY24'!S71</f>
        <v>0</v>
      </c>
      <c r="L77" s="39"/>
      <c r="M77" s="39">
        <f>'FY25'!S71</f>
        <v>0</v>
      </c>
    </row>
    <row r="78" spans="2:13" s="37" customFormat="1" ht="12" x14ac:dyDescent="0.2">
      <c r="B78" s="86"/>
      <c r="C78" s="200">
        <v>6350</v>
      </c>
      <c r="D78" s="37" t="s">
        <v>17</v>
      </c>
      <c r="E78" s="39">
        <f>'FY21'!S72</f>
        <v>2000.0000000000002</v>
      </c>
      <c r="F78" s="39"/>
      <c r="G78" s="39">
        <f>'FY22'!S72</f>
        <v>2040</v>
      </c>
      <c r="H78" s="39"/>
      <c r="I78" s="39">
        <f>'FY23'!S72</f>
        <v>2080.8000000000006</v>
      </c>
      <c r="J78" s="39"/>
      <c r="K78" s="39">
        <f>'FY24'!S72</f>
        <v>2122.4159999999997</v>
      </c>
      <c r="L78" s="39"/>
      <c r="M78" s="39">
        <f>'FY25'!S72</f>
        <v>2164.8643200000001</v>
      </c>
    </row>
    <row r="79" spans="2:13" s="37" customFormat="1" ht="12" x14ac:dyDescent="0.2">
      <c r="B79" s="86"/>
      <c r="C79" s="200">
        <v>6351</v>
      </c>
      <c r="D79" s="37" t="s">
        <v>18</v>
      </c>
      <c r="E79" s="39">
        <f>'FY21'!S73</f>
        <v>0</v>
      </c>
      <c r="F79" s="39"/>
      <c r="G79" s="39">
        <f>'FY22'!S73</f>
        <v>0</v>
      </c>
      <c r="H79" s="39"/>
      <c r="I79" s="39">
        <f>'FY23'!S73</f>
        <v>0</v>
      </c>
      <c r="J79" s="39"/>
      <c r="K79" s="39">
        <f>'FY24'!S73</f>
        <v>0</v>
      </c>
      <c r="L79" s="39"/>
      <c r="M79" s="39">
        <f>'FY25'!S73</f>
        <v>0</v>
      </c>
    </row>
    <row r="80" spans="2:13" s="37" customFormat="1" ht="12" x14ac:dyDescent="0.2">
      <c r="B80" s="86"/>
      <c r="C80" s="38"/>
      <c r="E80" s="50">
        <f>SUBTOTAL(9,E70:E79)</f>
        <v>38220</v>
      </c>
      <c r="F80" s="39"/>
      <c r="G80" s="50">
        <f>SUBTOTAL(9,G70:G79)</f>
        <v>43109.549999999996</v>
      </c>
      <c r="H80" s="39"/>
      <c r="I80" s="50">
        <f>SUBTOTAL(9,I70:I79)</f>
        <v>43885.311000000002</v>
      </c>
      <c r="J80" s="39"/>
      <c r="K80" s="50">
        <f>SUBTOTAL(9,K70:K79)</f>
        <v>44676.587220000001</v>
      </c>
      <c r="L80" s="39"/>
      <c r="M80" s="50">
        <f>SUBTOTAL(9,M70:M79)</f>
        <v>45483.688964399997</v>
      </c>
    </row>
    <row r="81" spans="2:13" s="37" customFormat="1" ht="12" x14ac:dyDescent="0.2">
      <c r="B81" s="86"/>
      <c r="C81" s="49" t="s">
        <v>100</v>
      </c>
      <c r="E81" s="39"/>
      <c r="F81" s="39"/>
      <c r="G81" s="39"/>
      <c r="H81" s="39"/>
      <c r="I81" s="39"/>
      <c r="J81" s="39"/>
      <c r="K81" s="39"/>
      <c r="L81" s="39"/>
      <c r="M81" s="39"/>
    </row>
    <row r="82" spans="2:13" s="37" customFormat="1" ht="12" x14ac:dyDescent="0.2">
      <c r="B82" s="86"/>
      <c r="C82" s="200">
        <v>6410</v>
      </c>
      <c r="D82" s="37" t="s">
        <v>19</v>
      </c>
      <c r="E82" s="39">
        <f>'FY21'!S76</f>
        <v>2400</v>
      </c>
      <c r="F82" s="39"/>
      <c r="G82" s="39">
        <f>'FY22'!S76</f>
        <v>2448</v>
      </c>
      <c r="H82" s="39"/>
      <c r="I82" s="39">
        <f>'FY23'!S76</f>
        <v>2496.9599999999996</v>
      </c>
      <c r="J82" s="39"/>
      <c r="K82" s="39">
        <f>'FY24'!S76</f>
        <v>2546.8991999999998</v>
      </c>
      <c r="L82" s="39"/>
      <c r="M82" s="39">
        <f>'FY25'!S76</f>
        <v>2597.837184</v>
      </c>
    </row>
    <row r="83" spans="2:13" s="37" customFormat="1" ht="12" x14ac:dyDescent="0.2">
      <c r="B83" s="86"/>
      <c r="C83" s="200">
        <v>6420</v>
      </c>
      <c r="D83" s="37" t="s">
        <v>20</v>
      </c>
      <c r="E83" s="39">
        <f>'FY21'!S77</f>
        <v>11300.000000000002</v>
      </c>
      <c r="F83" s="39"/>
      <c r="G83" s="39">
        <f>'FY22'!S77</f>
        <v>11526</v>
      </c>
      <c r="H83" s="39"/>
      <c r="I83" s="39">
        <f>'FY23'!S77</f>
        <v>11756.519999999999</v>
      </c>
      <c r="J83" s="39"/>
      <c r="K83" s="39">
        <f>'FY24'!S77</f>
        <v>11991.6504</v>
      </c>
      <c r="L83" s="39"/>
      <c r="M83" s="39">
        <f>'FY25'!S77</f>
        <v>12231.483408000002</v>
      </c>
    </row>
    <row r="84" spans="2:13" s="37" customFormat="1" ht="12" x14ac:dyDescent="0.2">
      <c r="B84" s="86"/>
      <c r="C84" s="200">
        <v>6430</v>
      </c>
      <c r="D84" s="37" t="s">
        <v>21</v>
      </c>
      <c r="E84" s="39">
        <f>'FY21'!S78</f>
        <v>57305</v>
      </c>
      <c r="F84" s="39"/>
      <c r="G84" s="39">
        <f>'FY22'!S78</f>
        <v>58451.1</v>
      </c>
      <c r="H84" s="39"/>
      <c r="I84" s="39">
        <f>'FY23'!S78</f>
        <v>59620.121999999974</v>
      </c>
      <c r="J84" s="39"/>
      <c r="K84" s="39">
        <f>'FY24'!S78</f>
        <v>60812.524440000008</v>
      </c>
      <c r="L84" s="39"/>
      <c r="M84" s="39">
        <f>'FY25'!S78</f>
        <v>62028.774928800005</v>
      </c>
    </row>
    <row r="85" spans="2:13" s="37" customFormat="1" ht="12" x14ac:dyDescent="0.2">
      <c r="B85" s="86"/>
      <c r="C85" s="200">
        <v>6441</v>
      </c>
      <c r="D85" s="37" t="s">
        <v>22</v>
      </c>
      <c r="E85" s="39">
        <f>'FY21'!S79</f>
        <v>113776.79999999997</v>
      </c>
      <c r="F85" s="39"/>
      <c r="G85" s="39">
        <f>'FY22'!S79</f>
        <v>116052.33599999998</v>
      </c>
      <c r="H85" s="39"/>
      <c r="I85" s="39">
        <f>'FY23'!S79</f>
        <v>118373.38271999999</v>
      </c>
      <c r="J85" s="39"/>
      <c r="K85" s="39">
        <f>'FY24'!S79</f>
        <v>120740.85037440003</v>
      </c>
      <c r="L85" s="39"/>
      <c r="M85" s="39">
        <f>'FY25'!S79</f>
        <v>123155.66738188805</v>
      </c>
    </row>
    <row r="86" spans="2:13" s="37" customFormat="1" ht="12" x14ac:dyDescent="0.2">
      <c r="B86" s="86"/>
      <c r="C86" s="38"/>
      <c r="E86" s="50">
        <f>SUBTOTAL(9,E82:E85)</f>
        <v>184781.8</v>
      </c>
      <c r="F86" s="39"/>
      <c r="G86" s="50">
        <f>SUBTOTAL(9,G82:G85)</f>
        <v>188477.43599999999</v>
      </c>
      <c r="H86" s="39"/>
      <c r="I86" s="50">
        <f>SUBTOTAL(9,I82:I85)</f>
        <v>192246.98471999995</v>
      </c>
      <c r="J86" s="39"/>
      <c r="K86" s="50">
        <f>SUBTOTAL(9,K82:K85)</f>
        <v>196091.92441440004</v>
      </c>
      <c r="L86" s="39"/>
      <c r="M86" s="50">
        <f>SUBTOTAL(9,M82:M85)</f>
        <v>200013.76290268806</v>
      </c>
    </row>
    <row r="87" spans="2:13" s="37" customFormat="1" ht="12" x14ac:dyDescent="0.2">
      <c r="B87" s="86"/>
      <c r="C87" s="49" t="s">
        <v>101</v>
      </c>
      <c r="E87" s="39"/>
      <c r="F87" s="39"/>
      <c r="G87" s="39"/>
      <c r="H87" s="39"/>
      <c r="I87" s="39"/>
      <c r="J87" s="39"/>
      <c r="K87" s="39"/>
      <c r="L87" s="39"/>
      <c r="M87" s="39"/>
    </row>
    <row r="88" spans="2:13" s="37" customFormat="1" ht="12" x14ac:dyDescent="0.2">
      <c r="B88" s="86"/>
      <c r="C88" s="200">
        <v>6519</v>
      </c>
      <c r="D88" s="37" t="s">
        <v>234</v>
      </c>
      <c r="E88" s="39">
        <f>'FY21'!S82</f>
        <v>399.99999999999994</v>
      </c>
      <c r="F88" s="39"/>
      <c r="G88" s="39">
        <f>'FY22'!S82</f>
        <v>408</v>
      </c>
      <c r="H88" s="39"/>
      <c r="I88" s="39">
        <f>'FY23'!S82</f>
        <v>416.16</v>
      </c>
      <c r="J88" s="39"/>
      <c r="K88" s="39">
        <f>'FY24'!S82</f>
        <v>424.48320000000007</v>
      </c>
      <c r="L88" s="39"/>
      <c r="M88" s="39">
        <f>'FY25'!S82</f>
        <v>432.97286400000007</v>
      </c>
    </row>
    <row r="89" spans="2:13" s="37" customFormat="1" ht="12" x14ac:dyDescent="0.2">
      <c r="B89" s="86"/>
      <c r="C89" s="200">
        <v>6521</v>
      </c>
      <c r="D89" s="37" t="s">
        <v>24</v>
      </c>
      <c r="E89" s="39">
        <f>'FY21'!S83</f>
        <v>3800</v>
      </c>
      <c r="F89" s="39"/>
      <c r="G89" s="39">
        <f>'FY22'!S83</f>
        <v>3876</v>
      </c>
      <c r="H89" s="39"/>
      <c r="I89" s="39">
        <f>'FY23'!S83</f>
        <v>3953.52</v>
      </c>
      <c r="J89" s="39"/>
      <c r="K89" s="39">
        <f>'FY24'!S83</f>
        <v>4032.5904</v>
      </c>
      <c r="L89" s="39"/>
      <c r="M89" s="39">
        <f>'FY25'!S83</f>
        <v>4113.2422079999997</v>
      </c>
    </row>
    <row r="90" spans="2:13" s="37" customFormat="1" ht="12" x14ac:dyDescent="0.2">
      <c r="B90" s="86"/>
      <c r="C90" s="200">
        <v>6522</v>
      </c>
      <c r="D90" s="37" t="s">
        <v>25</v>
      </c>
      <c r="E90" s="39">
        <f>'FY21'!S84</f>
        <v>0</v>
      </c>
      <c r="F90" s="39"/>
      <c r="G90" s="39">
        <f>'FY22'!S84</f>
        <v>0</v>
      </c>
      <c r="H90" s="39"/>
      <c r="I90" s="39">
        <f>'FY23'!S84</f>
        <v>0</v>
      </c>
      <c r="J90" s="39"/>
      <c r="K90" s="39">
        <f>'FY24'!S84</f>
        <v>0</v>
      </c>
      <c r="L90" s="39"/>
      <c r="M90" s="39">
        <f>'FY25'!S84</f>
        <v>0</v>
      </c>
    </row>
    <row r="91" spans="2:13" s="37" customFormat="1" ht="12" x14ac:dyDescent="0.2">
      <c r="B91" s="86"/>
      <c r="C91" s="200">
        <v>6523</v>
      </c>
      <c r="D91" s="37" t="s">
        <v>26</v>
      </c>
      <c r="E91" s="39">
        <f>'FY21'!S85</f>
        <v>0</v>
      </c>
      <c r="F91" s="39"/>
      <c r="G91" s="39">
        <f>'FY22'!S85</f>
        <v>0</v>
      </c>
      <c r="H91" s="39"/>
      <c r="I91" s="39">
        <f>'FY23'!S85</f>
        <v>0</v>
      </c>
      <c r="J91" s="39"/>
      <c r="K91" s="39">
        <f>'FY24'!S85</f>
        <v>0</v>
      </c>
      <c r="L91" s="39"/>
      <c r="M91" s="39">
        <f>'FY25'!S85</f>
        <v>0</v>
      </c>
    </row>
    <row r="92" spans="2:13" s="37" customFormat="1" ht="12" x14ac:dyDescent="0.2">
      <c r="B92" s="86"/>
      <c r="C92" s="200">
        <v>6531</v>
      </c>
      <c r="D92" s="37" t="s">
        <v>27</v>
      </c>
      <c r="E92" s="39">
        <f>'FY21'!S86</f>
        <v>1800</v>
      </c>
      <c r="F92" s="39"/>
      <c r="G92" s="39">
        <f>'FY22'!S86</f>
        <v>1836</v>
      </c>
      <c r="H92" s="39"/>
      <c r="I92" s="39">
        <f>'FY23'!S86</f>
        <v>1872.7199999999996</v>
      </c>
      <c r="J92" s="39"/>
      <c r="K92" s="39">
        <f>'FY24'!S86</f>
        <v>1910.1744000000001</v>
      </c>
      <c r="L92" s="39"/>
      <c r="M92" s="39">
        <f>'FY25'!S86</f>
        <v>1948.3778880000002</v>
      </c>
    </row>
    <row r="93" spans="2:13" s="37" customFormat="1" ht="12" x14ac:dyDescent="0.2">
      <c r="B93" s="86"/>
      <c r="C93" s="200">
        <v>6534</v>
      </c>
      <c r="D93" s="37" t="s">
        <v>28</v>
      </c>
      <c r="E93" s="39">
        <f>'FY21'!S87</f>
        <v>0</v>
      </c>
      <c r="F93" s="39"/>
      <c r="G93" s="39">
        <f>'FY22'!S87</f>
        <v>0</v>
      </c>
      <c r="H93" s="39"/>
      <c r="I93" s="39">
        <f>'FY23'!S87</f>
        <v>0</v>
      </c>
      <c r="J93" s="39"/>
      <c r="K93" s="39">
        <f>'FY24'!S87</f>
        <v>0</v>
      </c>
      <c r="L93" s="39"/>
      <c r="M93" s="39">
        <f>'FY25'!S87</f>
        <v>0</v>
      </c>
    </row>
    <row r="94" spans="2:13" s="37" customFormat="1" ht="12" x14ac:dyDescent="0.2">
      <c r="B94" s="86"/>
      <c r="C94" s="200">
        <v>6535</v>
      </c>
      <c r="D94" s="37" t="s">
        <v>235</v>
      </c>
      <c r="E94" s="39">
        <f>'FY21'!S88</f>
        <v>1740</v>
      </c>
      <c r="F94" s="39"/>
      <c r="G94" s="39">
        <f>'FY22'!S88</f>
        <v>1774.8000000000004</v>
      </c>
      <c r="H94" s="39"/>
      <c r="I94" s="39">
        <f>'FY23'!S88</f>
        <v>1810.2959999999996</v>
      </c>
      <c r="J94" s="39"/>
      <c r="K94" s="39">
        <f>'FY24'!S88</f>
        <v>1846.5019200000004</v>
      </c>
      <c r="L94" s="39"/>
      <c r="M94" s="39">
        <f>'FY25'!S88</f>
        <v>1883.4319583999998</v>
      </c>
    </row>
    <row r="95" spans="2:13" s="37" customFormat="1" ht="12" x14ac:dyDescent="0.2">
      <c r="B95" s="86"/>
      <c r="C95" s="200">
        <v>6540</v>
      </c>
      <c r="D95" s="37" t="s">
        <v>30</v>
      </c>
      <c r="E95" s="39">
        <f>'FY21'!S89</f>
        <v>2000.0000000000002</v>
      </c>
      <c r="F95" s="39"/>
      <c r="G95" s="39">
        <f>'FY22'!S89</f>
        <v>2040</v>
      </c>
      <c r="H95" s="39"/>
      <c r="I95" s="39">
        <f>'FY23'!S89</f>
        <v>2080.8000000000006</v>
      </c>
      <c r="J95" s="39"/>
      <c r="K95" s="39">
        <f>'FY24'!S89</f>
        <v>2122.4159999999997</v>
      </c>
      <c r="L95" s="39"/>
      <c r="M95" s="39">
        <f>'FY25'!S89</f>
        <v>2164.8643200000001</v>
      </c>
    </row>
    <row r="96" spans="2:13" s="37" customFormat="1" ht="12" x14ac:dyDescent="0.2">
      <c r="B96" s="86"/>
      <c r="C96" s="200">
        <v>6550</v>
      </c>
      <c r="D96" s="37" t="s">
        <v>31</v>
      </c>
      <c r="E96" s="39">
        <f>'FY21'!S90</f>
        <v>0</v>
      </c>
      <c r="F96" s="39"/>
      <c r="G96" s="39">
        <f>'FY22'!S90</f>
        <v>0</v>
      </c>
      <c r="H96" s="39"/>
      <c r="I96" s="39">
        <f>'FY23'!S90</f>
        <v>0</v>
      </c>
      <c r="J96" s="39"/>
      <c r="K96" s="39">
        <f>'FY24'!S90</f>
        <v>0</v>
      </c>
      <c r="L96" s="39"/>
      <c r="M96" s="39">
        <f>'FY25'!S90</f>
        <v>0</v>
      </c>
    </row>
    <row r="97" spans="2:13" s="37" customFormat="1" ht="12" x14ac:dyDescent="0.2">
      <c r="B97" s="86"/>
      <c r="C97" s="200">
        <v>6568</v>
      </c>
      <c r="D97" s="37" t="s">
        <v>186</v>
      </c>
      <c r="E97" s="39">
        <f>'FY21'!S91</f>
        <v>0</v>
      </c>
      <c r="F97" s="39"/>
      <c r="G97" s="39">
        <f>'FY22'!S91</f>
        <v>0</v>
      </c>
      <c r="H97" s="39"/>
      <c r="I97" s="39">
        <f>'FY23'!S91</f>
        <v>0</v>
      </c>
      <c r="J97" s="39"/>
      <c r="K97" s="39">
        <f>'FY24'!S91</f>
        <v>0</v>
      </c>
      <c r="L97" s="39"/>
      <c r="M97" s="39">
        <f>'FY25'!S91</f>
        <v>0</v>
      </c>
    </row>
    <row r="98" spans="2:13" s="37" customFormat="1" ht="12" x14ac:dyDescent="0.2">
      <c r="B98" s="86"/>
      <c r="C98" s="200">
        <v>6569</v>
      </c>
      <c r="D98" s="37" t="s">
        <v>32</v>
      </c>
      <c r="E98" s="39">
        <f>'FY21'!S92</f>
        <v>519500</v>
      </c>
      <c r="F98" s="39"/>
      <c r="G98" s="39">
        <f>'FY22'!S92</f>
        <v>545475</v>
      </c>
      <c r="H98" s="39"/>
      <c r="I98" s="39">
        <f>'FY23'!S92</f>
        <v>572748.75</v>
      </c>
      <c r="J98" s="39"/>
      <c r="K98" s="39">
        <f>'FY24'!S92</f>
        <v>545475</v>
      </c>
      <c r="L98" s="39"/>
      <c r="M98" s="39">
        <f>'FY25'!S92</f>
        <v>572748.75</v>
      </c>
    </row>
    <row r="99" spans="2:13" s="37" customFormat="1" ht="12" x14ac:dyDescent="0.2">
      <c r="B99" s="86"/>
      <c r="C99" s="200">
        <v>6580</v>
      </c>
      <c r="D99" s="37" t="s">
        <v>33</v>
      </c>
      <c r="E99" s="39">
        <f>'FY21'!S93</f>
        <v>0</v>
      </c>
      <c r="F99" s="39"/>
      <c r="G99" s="39">
        <f>'FY22'!S93</f>
        <v>0</v>
      </c>
      <c r="H99" s="39"/>
      <c r="I99" s="39">
        <f>'FY23'!S93</f>
        <v>0</v>
      </c>
      <c r="J99" s="39"/>
      <c r="K99" s="39">
        <f>'FY24'!S93</f>
        <v>0</v>
      </c>
      <c r="L99" s="39"/>
      <c r="M99" s="39">
        <f>'FY25'!S93</f>
        <v>0</v>
      </c>
    </row>
    <row r="100" spans="2:13" s="37" customFormat="1" ht="12" x14ac:dyDescent="0.2">
      <c r="B100" s="86"/>
      <c r="C100" s="38"/>
      <c r="E100" s="50">
        <f>SUBTOTAL(9,E88:E99)</f>
        <v>529240</v>
      </c>
      <c r="F100" s="39"/>
      <c r="G100" s="50">
        <f>SUBTOTAL(9,G88:G99)</f>
        <v>555409.80000000005</v>
      </c>
      <c r="H100" s="39"/>
      <c r="I100" s="50">
        <f>SUBTOTAL(9,I88:I99)</f>
        <v>582882.24600000004</v>
      </c>
      <c r="J100" s="39"/>
      <c r="K100" s="50">
        <f>SUBTOTAL(9,K88:K99)</f>
        <v>555811.16592000006</v>
      </c>
      <c r="L100" s="39"/>
      <c r="M100" s="50">
        <f>SUBTOTAL(9,M88:M99)</f>
        <v>583291.63923840004</v>
      </c>
    </row>
    <row r="101" spans="2:13" s="37" customFormat="1" ht="12" x14ac:dyDescent="0.2">
      <c r="B101" s="86"/>
      <c r="C101" s="49" t="s">
        <v>102</v>
      </c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2:13" s="37" customFormat="1" ht="12" x14ac:dyDescent="0.2">
      <c r="B102" s="86"/>
      <c r="C102" s="200">
        <v>6610</v>
      </c>
      <c r="D102" s="37" t="s">
        <v>34</v>
      </c>
      <c r="E102" s="39">
        <f>'FY21'!S96</f>
        <v>6384</v>
      </c>
      <c r="F102" s="39"/>
      <c r="G102" s="39">
        <f>'FY22'!S96</f>
        <v>6511.68</v>
      </c>
      <c r="H102" s="39"/>
      <c r="I102" s="39">
        <f>'FY23'!S96</f>
        <v>6641.913599999999</v>
      </c>
      <c r="J102" s="39"/>
      <c r="K102" s="39">
        <f>'FY24'!S96</f>
        <v>6774.7518720000025</v>
      </c>
      <c r="L102" s="39"/>
      <c r="M102" s="39">
        <f>'FY25'!S96</f>
        <v>6910.2469094400012</v>
      </c>
    </row>
    <row r="103" spans="2:13" s="37" customFormat="1" ht="12" x14ac:dyDescent="0.2">
      <c r="B103" s="86"/>
      <c r="C103" s="200">
        <v>6612</v>
      </c>
      <c r="D103" s="37" t="s">
        <v>35</v>
      </c>
      <c r="E103" s="39">
        <f>'FY21'!S97</f>
        <v>0</v>
      </c>
      <c r="F103" s="39"/>
      <c r="G103" s="39">
        <f>'FY22'!S97</f>
        <v>0</v>
      </c>
      <c r="H103" s="39"/>
      <c r="I103" s="39">
        <f>'FY23'!S97</f>
        <v>0</v>
      </c>
      <c r="J103" s="39"/>
      <c r="K103" s="39">
        <f>'FY24'!S97</f>
        <v>0</v>
      </c>
      <c r="L103" s="39"/>
      <c r="M103" s="39">
        <f>'FY25'!S97</f>
        <v>0</v>
      </c>
    </row>
    <row r="104" spans="2:13" s="37" customFormat="1" ht="12" x14ac:dyDescent="0.2">
      <c r="B104" s="86"/>
      <c r="C104" s="200">
        <v>6622</v>
      </c>
      <c r="D104" s="37" t="s">
        <v>36</v>
      </c>
      <c r="E104" s="39">
        <f>'FY21'!S98</f>
        <v>9600</v>
      </c>
      <c r="F104" s="39"/>
      <c r="G104" s="39">
        <f>'FY22'!S98</f>
        <v>9792</v>
      </c>
      <c r="H104" s="39"/>
      <c r="I104" s="39">
        <f>'FY23'!S98</f>
        <v>9987.8399999999983</v>
      </c>
      <c r="J104" s="39"/>
      <c r="K104" s="39">
        <f>'FY24'!S98</f>
        <v>10187.596799999999</v>
      </c>
      <c r="L104" s="39"/>
      <c r="M104" s="39">
        <f>'FY25'!S98</f>
        <v>10391.348736</v>
      </c>
    </row>
    <row r="105" spans="2:13" s="37" customFormat="1" ht="12" x14ac:dyDescent="0.2">
      <c r="B105" s="86"/>
      <c r="C105" s="200">
        <v>6641</v>
      </c>
      <c r="D105" s="37" t="s">
        <v>37</v>
      </c>
      <c r="E105" s="39">
        <f>'FY21'!S99</f>
        <v>48050</v>
      </c>
      <c r="F105" s="39"/>
      <c r="G105" s="39">
        <f>'FY22'!S99</f>
        <v>50452.5</v>
      </c>
      <c r="H105" s="39"/>
      <c r="I105" s="39">
        <f>'FY23'!S99</f>
        <v>52975.125</v>
      </c>
      <c r="J105" s="39"/>
      <c r="K105" s="39">
        <f>'FY24'!S99</f>
        <v>55623.881250000006</v>
      </c>
      <c r="L105" s="39"/>
      <c r="M105" s="39">
        <f>'FY25'!S99</f>
        <v>58405.075312500005</v>
      </c>
    </row>
    <row r="106" spans="2:13" s="37" customFormat="1" ht="12" x14ac:dyDescent="0.2">
      <c r="B106" s="86"/>
      <c r="C106" s="200">
        <v>6642</v>
      </c>
      <c r="D106" s="37" t="s">
        <v>38</v>
      </c>
      <c r="E106" s="39">
        <f>'FY21'!S100</f>
        <v>63450</v>
      </c>
      <c r="F106" s="39"/>
      <c r="G106" s="39">
        <f>'FY22'!S100</f>
        <v>66622.5</v>
      </c>
      <c r="H106" s="39"/>
      <c r="I106" s="39">
        <f>'FY23'!S100</f>
        <v>69953.625</v>
      </c>
      <c r="J106" s="39"/>
      <c r="K106" s="39">
        <f>'FY24'!S100</f>
        <v>73451.306249999994</v>
      </c>
      <c r="L106" s="39"/>
      <c r="M106" s="39">
        <f>'FY25'!S100</f>
        <v>77123.871562500019</v>
      </c>
    </row>
    <row r="107" spans="2:13" s="37" customFormat="1" ht="12" x14ac:dyDescent="0.2">
      <c r="B107" s="86"/>
      <c r="C107" s="200">
        <v>6651</v>
      </c>
      <c r="D107" s="37" t="s">
        <v>39</v>
      </c>
      <c r="E107" s="39">
        <f>'FY21'!S101</f>
        <v>0</v>
      </c>
      <c r="F107" s="39"/>
      <c r="G107" s="39">
        <f>'FY22'!S101</f>
        <v>0</v>
      </c>
      <c r="H107" s="39"/>
      <c r="I107" s="39">
        <f>'FY23'!S101</f>
        <v>0</v>
      </c>
      <c r="J107" s="39"/>
      <c r="K107" s="39">
        <f>'FY24'!S101</f>
        <v>0</v>
      </c>
      <c r="L107" s="39"/>
      <c r="M107" s="39">
        <f>'FY25'!S101</f>
        <v>0</v>
      </c>
    </row>
    <row r="108" spans="2:13" s="37" customFormat="1" ht="12" x14ac:dyDescent="0.2">
      <c r="B108" s="86"/>
      <c r="C108" s="200">
        <v>6652</v>
      </c>
      <c r="D108" s="37" t="s">
        <v>40</v>
      </c>
      <c r="E108" s="39">
        <f>'FY21'!S102</f>
        <v>0</v>
      </c>
      <c r="F108" s="39"/>
      <c r="G108" s="39">
        <f>'FY22'!S102</f>
        <v>0</v>
      </c>
      <c r="H108" s="39"/>
      <c r="I108" s="39">
        <f>'FY23'!S102</f>
        <v>0</v>
      </c>
      <c r="J108" s="39"/>
      <c r="K108" s="39">
        <f>'FY24'!S102</f>
        <v>0</v>
      </c>
      <c r="L108" s="39"/>
      <c r="M108" s="39">
        <f>'FY25'!S102</f>
        <v>0</v>
      </c>
    </row>
    <row r="109" spans="2:13" s="37" customFormat="1" ht="12" x14ac:dyDescent="0.2">
      <c r="B109" s="86"/>
      <c r="C109" s="38"/>
      <c r="E109" s="50">
        <f>SUBTOTAL(9,E102:E108)</f>
        <v>127484</v>
      </c>
      <c r="F109" s="39"/>
      <c r="G109" s="50">
        <f>SUBTOTAL(9,G102:G108)</f>
        <v>133378.68</v>
      </c>
      <c r="H109" s="39"/>
      <c r="I109" s="50">
        <f>SUBTOTAL(9,I102:I108)</f>
        <v>139558.5036</v>
      </c>
      <c r="J109" s="39"/>
      <c r="K109" s="50">
        <f>SUBTOTAL(9,K102:K108)</f>
        <v>146037.53617199999</v>
      </c>
      <c r="L109" s="39"/>
      <c r="M109" s="50">
        <f>SUBTOTAL(9,M102:M108)</f>
        <v>152830.54252044001</v>
      </c>
    </row>
    <row r="110" spans="2:13" s="37" customFormat="1" ht="12" x14ac:dyDescent="0.2">
      <c r="B110" s="86"/>
      <c r="C110" s="49" t="s">
        <v>103</v>
      </c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2:13" s="37" customFormat="1" ht="12" x14ac:dyDescent="0.2">
      <c r="B111" s="86"/>
      <c r="C111" s="200">
        <v>6734</v>
      </c>
      <c r="D111" s="37" t="s">
        <v>41</v>
      </c>
      <c r="E111" s="39">
        <f>'FY21'!S105</f>
        <v>0</v>
      </c>
      <c r="F111" s="39"/>
      <c r="G111" s="39">
        <f>'FY22'!S105</f>
        <v>0</v>
      </c>
      <c r="H111" s="39"/>
      <c r="I111" s="39">
        <f>'FY23'!S105</f>
        <v>0</v>
      </c>
      <c r="J111" s="39"/>
      <c r="K111" s="39">
        <f>'FY24'!S105</f>
        <v>0</v>
      </c>
      <c r="L111" s="39"/>
      <c r="M111" s="39">
        <f>'FY25'!S105</f>
        <v>0</v>
      </c>
    </row>
    <row r="112" spans="2:13" s="37" customFormat="1" ht="12" x14ac:dyDescent="0.2">
      <c r="B112" s="86"/>
      <c r="C112" s="38"/>
      <c r="E112" s="50">
        <f>SUBTOTAL(9,E111)</f>
        <v>0</v>
      </c>
      <c r="F112" s="39"/>
      <c r="G112" s="50">
        <f>SUBTOTAL(9,G111)</f>
        <v>0</v>
      </c>
      <c r="H112" s="39"/>
      <c r="I112" s="50">
        <f>SUBTOTAL(9,I111)</f>
        <v>0</v>
      </c>
      <c r="J112" s="39"/>
      <c r="K112" s="50">
        <f>SUBTOTAL(9,K111)</f>
        <v>0</v>
      </c>
      <c r="L112" s="39"/>
      <c r="M112" s="50">
        <f>SUBTOTAL(9,M111)</f>
        <v>0</v>
      </c>
    </row>
    <row r="113" spans="2:16" s="37" customFormat="1" ht="12" x14ac:dyDescent="0.2">
      <c r="B113" s="86"/>
      <c r="C113" s="49" t="s">
        <v>104</v>
      </c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2:16" s="37" customFormat="1" ht="12" x14ac:dyDescent="0.2">
      <c r="B114" s="86"/>
      <c r="C114" s="200">
        <v>6810</v>
      </c>
      <c r="D114" s="37" t="s">
        <v>42</v>
      </c>
      <c r="E114" s="39">
        <f>'FY21'!S108</f>
        <v>2137</v>
      </c>
      <c r="F114" s="39"/>
      <c r="G114" s="39">
        <f>'FY22'!S108</f>
        <v>2179.7399999999998</v>
      </c>
      <c r="H114" s="39"/>
      <c r="I114" s="39">
        <f>'FY23'!S108</f>
        <v>2223.3348000000001</v>
      </c>
      <c r="J114" s="39"/>
      <c r="K114" s="39">
        <f>'FY24'!S108</f>
        <v>2267.801496</v>
      </c>
      <c r="L114" s="39"/>
      <c r="M114" s="39">
        <f>'FY25'!S108</f>
        <v>2313.1575259200008</v>
      </c>
    </row>
    <row r="115" spans="2:16" s="37" customFormat="1" ht="12" x14ac:dyDescent="0.2">
      <c r="B115" s="86"/>
      <c r="C115" s="38"/>
      <c r="E115" s="50">
        <f>SUBTOTAL(9,E114)</f>
        <v>2137</v>
      </c>
      <c r="F115" s="39"/>
      <c r="G115" s="50">
        <f>SUBTOTAL(9,G114)</f>
        <v>2179.7399999999998</v>
      </c>
      <c r="H115" s="39"/>
      <c r="I115" s="50">
        <f>SUBTOTAL(9,I114)</f>
        <v>2223.3348000000001</v>
      </c>
      <c r="J115" s="39"/>
      <c r="K115" s="50">
        <f>SUBTOTAL(9,K114)</f>
        <v>2267.801496</v>
      </c>
      <c r="L115" s="39"/>
      <c r="M115" s="50">
        <f>SUBTOTAL(9,M114)</f>
        <v>2313.1575259200008</v>
      </c>
    </row>
    <row r="116" spans="2:16" s="45" customFormat="1" ht="12" x14ac:dyDescent="0.2">
      <c r="B116" s="87"/>
      <c r="C116" s="49" t="s">
        <v>43</v>
      </c>
      <c r="E116" s="48"/>
      <c r="F116" s="40"/>
      <c r="G116" s="48"/>
      <c r="H116" s="40"/>
      <c r="I116" s="48"/>
      <c r="J116" s="40"/>
      <c r="K116" s="48"/>
      <c r="L116" s="40"/>
      <c r="M116" s="48"/>
    </row>
    <row r="117" spans="2:16" s="37" customFormat="1" ht="12" x14ac:dyDescent="0.2">
      <c r="B117" s="86"/>
      <c r="C117" s="200">
        <v>7306</v>
      </c>
      <c r="D117" s="37" t="s">
        <v>43</v>
      </c>
      <c r="E117" s="39">
        <f>'FY21'!S111</f>
        <v>0</v>
      </c>
      <c r="F117" s="39"/>
      <c r="G117" s="39">
        <f>'FY22'!S111</f>
        <v>0</v>
      </c>
      <c r="H117" s="39"/>
      <c r="I117" s="39">
        <f>'FY23'!S111</f>
        <v>0</v>
      </c>
      <c r="J117" s="39"/>
      <c r="K117" s="39">
        <f>'FY24'!S111</f>
        <v>0</v>
      </c>
      <c r="L117" s="39"/>
      <c r="M117" s="39">
        <f>'FY25'!S111</f>
        <v>0</v>
      </c>
    </row>
    <row r="118" spans="2:16" s="37" customFormat="1" ht="12" x14ac:dyDescent="0.2">
      <c r="B118" s="86"/>
      <c r="C118" s="38">
        <v>7901</v>
      </c>
      <c r="D118" s="37" t="s">
        <v>177</v>
      </c>
      <c r="E118" s="39">
        <f>'FY21'!S112</f>
        <v>0</v>
      </c>
      <c r="F118" s="39"/>
      <c r="G118" s="39">
        <f>'FY22'!S112</f>
        <v>0</v>
      </c>
      <c r="H118" s="39"/>
      <c r="I118" s="39">
        <f>'FY23'!S112</f>
        <v>0</v>
      </c>
      <c r="J118" s="39"/>
      <c r="K118" s="39">
        <f>'FY24'!S112</f>
        <v>0</v>
      </c>
      <c r="L118" s="39"/>
      <c r="M118" s="39">
        <f>'FY25'!S112</f>
        <v>0</v>
      </c>
    </row>
    <row r="119" spans="2:16" s="37" customFormat="1" ht="12" x14ac:dyDescent="0.2">
      <c r="B119" s="86"/>
      <c r="C119" s="38"/>
      <c r="E119" s="50">
        <f>SUBTOTAL(9,E117:E118)</f>
        <v>0</v>
      </c>
      <c r="F119" s="39"/>
      <c r="G119" s="50">
        <f>SUBTOTAL(9,G117:G118)</f>
        <v>0</v>
      </c>
      <c r="H119" s="39"/>
      <c r="I119" s="50">
        <f>SUBTOTAL(9,I117:I118)</f>
        <v>0</v>
      </c>
      <c r="J119" s="39"/>
      <c r="K119" s="50">
        <f>SUBTOTAL(9,K117:K118)</f>
        <v>0</v>
      </c>
      <c r="L119" s="39"/>
      <c r="M119" s="50">
        <f>SUBTOTAL(9,M117:M118)</f>
        <v>0</v>
      </c>
    </row>
    <row r="120" spans="2:16" s="37" customFormat="1" ht="9" customHeight="1" x14ac:dyDescent="0.2">
      <c r="B120" s="86"/>
      <c r="C120" s="38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2:16" s="45" customFormat="1" ht="12" x14ac:dyDescent="0.2">
      <c r="B121" s="45" t="s">
        <v>107</v>
      </c>
      <c r="C121" s="46"/>
      <c r="E121" s="43">
        <f>SUBTOTAL(9,E36:E120)</f>
        <v>1279162.1242824998</v>
      </c>
      <c r="F121" s="40"/>
      <c r="G121" s="43">
        <f>SUBTOTAL(9,G36:G120)</f>
        <v>1327800.51676815</v>
      </c>
      <c r="H121" s="40"/>
      <c r="I121" s="43">
        <f>SUBTOTAL(9,I36:I120)</f>
        <v>1374146.5971035133</v>
      </c>
      <c r="J121" s="40"/>
      <c r="K121" s="43">
        <f>SUBTOTAL(9,K36:K120)</f>
        <v>1366502.2365455832</v>
      </c>
      <c r="L121" s="40"/>
      <c r="M121" s="43">
        <f>SUBTOTAL(9,M36:M120)</f>
        <v>1413982.356901495</v>
      </c>
    </row>
    <row r="122" spans="2:16" s="37" customFormat="1" ht="12" x14ac:dyDescent="0.2">
      <c r="C122" s="38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2:16" s="45" customFormat="1" ht="12.75" thickBot="1" x14ac:dyDescent="0.25">
      <c r="B123" s="45" t="s">
        <v>108</v>
      </c>
      <c r="C123" s="46"/>
      <c r="E123" s="182">
        <f>E33-E121</f>
        <v>82017.339717499912</v>
      </c>
      <c r="F123" s="183"/>
      <c r="G123" s="182">
        <f>G33-G121</f>
        <v>101034.72043184983</v>
      </c>
      <c r="H123" s="183"/>
      <c r="I123" s="182">
        <f>I33-I121</f>
        <v>97553.697212486528</v>
      </c>
      <c r="J123" s="183"/>
      <c r="K123" s="182">
        <f>K33-K121</f>
        <v>149349.06659989664</v>
      </c>
      <c r="L123" s="183"/>
      <c r="M123" s="182">
        <f>M33-M121</f>
        <v>147344.48533834959</v>
      </c>
    </row>
    <row r="124" spans="2:16" s="37" customFormat="1" ht="12.75" thickTop="1" x14ac:dyDescent="0.2">
      <c r="C124" s="38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2:16" s="156" customFormat="1" ht="12.75" x14ac:dyDescent="0.2">
      <c r="D125" s="157" t="s">
        <v>153</v>
      </c>
      <c r="E125" s="642">
        <f>Budget!E34</f>
        <v>321298.42919999996</v>
      </c>
      <c r="F125" s="158"/>
      <c r="G125" s="184">
        <f>E126</f>
        <v>403315.76891749987</v>
      </c>
      <c r="H125" s="158"/>
      <c r="I125" s="184">
        <f>G126</f>
        <v>504350.48934934969</v>
      </c>
      <c r="J125" s="158"/>
      <c r="K125" s="184">
        <f>I126</f>
        <v>601904.18656183616</v>
      </c>
      <c r="L125" s="158"/>
      <c r="M125" s="185">
        <f>K126</f>
        <v>751253.25316173281</v>
      </c>
    </row>
    <row r="126" spans="2:16" s="159" customFormat="1" ht="13.5" thickBot="1" x14ac:dyDescent="0.25">
      <c r="D126" s="160" t="s">
        <v>154</v>
      </c>
      <c r="E126" s="161">
        <f>E125+E123</f>
        <v>403315.76891749987</v>
      </c>
      <c r="F126" s="170"/>
      <c r="G126" s="161">
        <f>G125+G123</f>
        <v>504350.48934934969</v>
      </c>
      <c r="H126" s="171"/>
      <c r="I126" s="161">
        <f>I125+I123</f>
        <v>601904.18656183616</v>
      </c>
      <c r="J126" s="170"/>
      <c r="K126" s="161">
        <f>K125+K123</f>
        <v>751253.25316173281</v>
      </c>
      <c r="L126" s="170"/>
      <c r="M126" s="162">
        <f>M125+M123</f>
        <v>898597.7385000824</v>
      </c>
    </row>
    <row r="127" spans="2:16" s="15" customFormat="1" ht="15.75" thickTop="1" x14ac:dyDescent="0.25">
      <c r="D127" s="163"/>
      <c r="E127" s="164">
        <f>E126/E121</f>
        <v>0.3152968347493289</v>
      </c>
      <c r="F127" s="165"/>
      <c r="G127" s="164">
        <f>G126/G121</f>
        <v>0.37983905186069106</v>
      </c>
      <c r="H127" s="166"/>
      <c r="I127" s="164">
        <f>I126/I121</f>
        <v>0.43802035956757185</v>
      </c>
      <c r="J127" s="165"/>
      <c r="K127" s="164">
        <f>K126/K121</f>
        <v>0.54976364697422342</v>
      </c>
      <c r="L127" s="165"/>
      <c r="M127" s="167">
        <f>M126/M121</f>
        <v>0.63550845179511894</v>
      </c>
    </row>
    <row r="128" spans="2:16" s="15" customFormat="1" x14ac:dyDescent="0.25">
      <c r="B128" s="54"/>
      <c r="C128" s="54"/>
      <c r="D128" s="54"/>
      <c r="E128" s="54"/>
      <c r="F128" s="168"/>
      <c r="G128" s="54"/>
      <c r="H128" s="168"/>
      <c r="I128" s="54"/>
      <c r="J128" s="168"/>
      <c r="K128" s="169"/>
      <c r="L128" s="168"/>
      <c r="M128" s="54"/>
      <c r="N128" s="168"/>
      <c r="O128" s="54"/>
      <c r="P128" s="168"/>
    </row>
    <row r="129" spans="1:13" s="37" customFormat="1" ht="12" x14ac:dyDescent="0.2">
      <c r="B129" s="53" t="s">
        <v>109</v>
      </c>
      <c r="C129" s="54"/>
      <c r="D129" s="54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s="37" customFormat="1" ht="12" x14ac:dyDescent="0.2">
      <c r="B130" s="53"/>
      <c r="C130" s="54" t="s">
        <v>110</v>
      </c>
      <c r="D130" s="54"/>
      <c r="E130" s="39">
        <f>E123</f>
        <v>82017.339717499912</v>
      </c>
      <c r="F130" s="39"/>
      <c r="G130" s="39">
        <f>G123</f>
        <v>101034.72043184983</v>
      </c>
      <c r="H130" s="39"/>
      <c r="I130" s="39">
        <f>I123</f>
        <v>97553.697212486528</v>
      </c>
      <c r="J130" s="39"/>
      <c r="K130" s="39">
        <f>K123</f>
        <v>149349.06659989664</v>
      </c>
      <c r="L130" s="39"/>
      <c r="M130" s="39">
        <f>M123</f>
        <v>147344.48533834959</v>
      </c>
    </row>
    <row r="131" spans="1:13" s="37" customFormat="1" ht="12" x14ac:dyDescent="0.2">
      <c r="B131" s="54"/>
      <c r="C131" s="54" t="s">
        <v>112</v>
      </c>
      <c r="D131" s="54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s="37" customFormat="1" ht="12" x14ac:dyDescent="0.2">
      <c r="B132" s="85"/>
      <c r="C132" s="54"/>
      <c r="D132" s="55" t="s">
        <v>113</v>
      </c>
      <c r="E132" s="39">
        <f>'FY21'!S122</f>
        <v>0</v>
      </c>
      <c r="F132" s="39"/>
      <c r="G132" s="39">
        <f>'FY22'!S122</f>
        <v>0</v>
      </c>
      <c r="H132" s="39"/>
      <c r="I132" s="39">
        <f>'FY23'!S122</f>
        <v>0</v>
      </c>
      <c r="J132" s="39"/>
      <c r="K132" s="39">
        <f>'FY24'!S122</f>
        <v>0</v>
      </c>
      <c r="L132" s="39"/>
      <c r="M132" s="39">
        <f>'FY25'!S122</f>
        <v>0</v>
      </c>
    </row>
    <row r="133" spans="1:13" s="37" customFormat="1" ht="12" x14ac:dyDescent="0.2">
      <c r="B133" s="85"/>
      <c r="C133" s="54"/>
      <c r="D133" s="55" t="s">
        <v>114</v>
      </c>
      <c r="E133" s="39">
        <f>'FY21'!S123</f>
        <v>0</v>
      </c>
      <c r="F133" s="39"/>
      <c r="G133" s="39">
        <f>'FY22'!S123</f>
        <v>0</v>
      </c>
      <c r="H133" s="39"/>
      <c r="I133" s="39">
        <f>'FY23'!S123</f>
        <v>0</v>
      </c>
      <c r="J133" s="39"/>
      <c r="K133" s="39">
        <f>'FY24'!S123</f>
        <v>0</v>
      </c>
      <c r="L133" s="39"/>
      <c r="M133" s="39">
        <f>'FY25'!S123</f>
        <v>0</v>
      </c>
    </row>
    <row r="134" spans="1:13" s="37" customFormat="1" ht="12" x14ac:dyDescent="0.2">
      <c r="B134" s="85"/>
      <c r="C134" s="54"/>
      <c r="D134" s="55" t="s">
        <v>115</v>
      </c>
      <c r="E134" s="39">
        <f>'FY21'!S124</f>
        <v>0</v>
      </c>
      <c r="F134" s="39"/>
      <c r="G134" s="39">
        <f>'FY22'!S124</f>
        <v>0</v>
      </c>
      <c r="H134" s="39"/>
      <c r="I134" s="39">
        <f>'FY23'!S124</f>
        <v>0</v>
      </c>
      <c r="J134" s="39"/>
      <c r="K134" s="39">
        <f>'FY24'!S124</f>
        <v>0</v>
      </c>
      <c r="L134" s="39"/>
      <c r="M134" s="39">
        <f>'FY25'!S124</f>
        <v>0</v>
      </c>
    </row>
    <row r="135" spans="1:13" s="37" customFormat="1" ht="12" x14ac:dyDescent="0.2">
      <c r="B135" s="85"/>
      <c r="C135" s="54"/>
      <c r="D135" s="55" t="s">
        <v>116</v>
      </c>
      <c r="E135" s="39">
        <f>'FY21'!S125</f>
        <v>0</v>
      </c>
      <c r="F135" s="39"/>
      <c r="G135" s="39">
        <f>'FY22'!S125</f>
        <v>0</v>
      </c>
      <c r="H135" s="39"/>
      <c r="I135" s="39">
        <f>'FY23'!S125</f>
        <v>0</v>
      </c>
      <c r="J135" s="39"/>
      <c r="K135" s="39">
        <f>'FY24'!S125</f>
        <v>0</v>
      </c>
      <c r="L135" s="39"/>
      <c r="M135" s="39">
        <f>'FY25'!S125</f>
        <v>0</v>
      </c>
    </row>
    <row r="136" spans="1:13" s="37" customFormat="1" ht="12" x14ac:dyDescent="0.2">
      <c r="B136" s="85"/>
      <c r="C136" s="54"/>
      <c r="D136" s="55" t="s">
        <v>117</v>
      </c>
      <c r="E136" s="39">
        <f>'FY21'!S126</f>
        <v>0</v>
      </c>
      <c r="F136" s="39"/>
      <c r="G136" s="39">
        <f>'FY22'!S126</f>
        <v>0</v>
      </c>
      <c r="H136" s="39"/>
      <c r="I136" s="39">
        <f>'FY23'!S126</f>
        <v>0</v>
      </c>
      <c r="J136" s="39"/>
      <c r="K136" s="39">
        <f>'FY24'!S126</f>
        <v>0</v>
      </c>
      <c r="L136" s="39"/>
      <c r="M136" s="39">
        <f>'FY25'!S126</f>
        <v>0</v>
      </c>
    </row>
    <row r="137" spans="1:13" s="37" customFormat="1" ht="12" x14ac:dyDescent="0.2">
      <c r="B137" s="85"/>
      <c r="C137" s="54"/>
      <c r="D137" s="55" t="s">
        <v>118</v>
      </c>
      <c r="E137" s="39">
        <f>'FY21'!S127</f>
        <v>0</v>
      </c>
      <c r="F137" s="39"/>
      <c r="G137" s="39">
        <f>'FY22'!S127</f>
        <v>0</v>
      </c>
      <c r="H137" s="39"/>
      <c r="I137" s="39">
        <f>'FY23'!S127</f>
        <v>0</v>
      </c>
      <c r="J137" s="39"/>
      <c r="K137" s="39">
        <f>'FY24'!S127</f>
        <v>0</v>
      </c>
      <c r="L137" s="39"/>
      <c r="M137" s="39">
        <f>'FY25'!S127</f>
        <v>0</v>
      </c>
    </row>
    <row r="138" spans="1:13" s="37" customFormat="1" ht="12" x14ac:dyDescent="0.2">
      <c r="B138" s="85"/>
      <c r="C138" s="54"/>
      <c r="D138" s="55" t="s">
        <v>119</v>
      </c>
      <c r="E138" s="39">
        <f>'FY21'!S128</f>
        <v>0</v>
      </c>
      <c r="F138" s="39"/>
      <c r="G138" s="39">
        <f>'FY22'!S128</f>
        <v>0</v>
      </c>
      <c r="H138" s="39"/>
      <c r="I138" s="39">
        <f>'FY23'!S128</f>
        <v>0</v>
      </c>
      <c r="J138" s="39"/>
      <c r="K138" s="39">
        <f>'FY24'!S128</f>
        <v>0</v>
      </c>
      <c r="L138" s="39"/>
      <c r="M138" s="39">
        <f>'FY25'!S128</f>
        <v>0</v>
      </c>
    </row>
    <row r="139" spans="1:13" s="37" customFormat="1" ht="12" x14ac:dyDescent="0.2">
      <c r="B139" s="85"/>
      <c r="C139" s="54"/>
      <c r="D139" s="55" t="s">
        <v>120</v>
      </c>
      <c r="E139" s="39">
        <f>'FY21'!S129</f>
        <v>0</v>
      </c>
      <c r="F139" s="39"/>
      <c r="G139" s="39">
        <f>'FY22'!S129</f>
        <v>0</v>
      </c>
      <c r="H139" s="39"/>
      <c r="I139" s="39">
        <f>'FY23'!S129</f>
        <v>0</v>
      </c>
      <c r="J139" s="39"/>
      <c r="K139" s="39">
        <f>'FY24'!S129</f>
        <v>0</v>
      </c>
      <c r="L139" s="39"/>
      <c r="M139" s="39">
        <f>'FY25'!S129</f>
        <v>0</v>
      </c>
    </row>
    <row r="140" spans="1:13" s="37" customFormat="1" ht="12" x14ac:dyDescent="0.2">
      <c r="A140" s="54"/>
      <c r="B140" s="85" t="s">
        <v>111</v>
      </c>
      <c r="C140" s="54"/>
      <c r="D140" s="55" t="s">
        <v>121</v>
      </c>
      <c r="E140" s="39">
        <f>'FY21'!S130</f>
        <v>0</v>
      </c>
      <c r="F140" s="39"/>
      <c r="G140" s="39">
        <f>'FY22'!S130</f>
        <v>0</v>
      </c>
      <c r="H140" s="39"/>
      <c r="I140" s="39">
        <f>'FY23'!S130</f>
        <v>0</v>
      </c>
      <c r="J140" s="39"/>
      <c r="K140" s="39">
        <f>'FY24'!S130</f>
        <v>0</v>
      </c>
      <c r="L140" s="39"/>
      <c r="M140" s="39">
        <f>'FY25'!S130</f>
        <v>0</v>
      </c>
    </row>
    <row r="141" spans="1:13" s="37" customFormat="1" ht="12" x14ac:dyDescent="0.2">
      <c r="A141" s="54"/>
      <c r="B141" s="85" t="s">
        <v>111</v>
      </c>
      <c r="C141" s="54" t="s">
        <v>122</v>
      </c>
      <c r="D141" s="55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s="37" customFormat="1" ht="12" x14ac:dyDescent="0.2">
      <c r="A142" s="54"/>
      <c r="B142" s="85" t="s">
        <v>111</v>
      </c>
      <c r="C142" s="54"/>
      <c r="D142" s="55" t="s">
        <v>123</v>
      </c>
      <c r="E142" s="39">
        <f>'FY21'!S132</f>
        <v>0</v>
      </c>
      <c r="F142" s="39"/>
      <c r="G142" s="39">
        <f>'FY22'!S132</f>
        <v>0</v>
      </c>
      <c r="H142" s="39"/>
      <c r="I142" s="39">
        <f>'FY23'!S132</f>
        <v>0</v>
      </c>
      <c r="J142" s="39"/>
      <c r="K142" s="39">
        <f>'FY24'!S132</f>
        <v>0</v>
      </c>
      <c r="L142" s="39"/>
      <c r="M142" s="39">
        <f>'FY25'!S132</f>
        <v>0</v>
      </c>
    </row>
    <row r="143" spans="1:13" s="37" customFormat="1" ht="12" x14ac:dyDescent="0.2">
      <c r="A143" s="54"/>
      <c r="B143" s="85"/>
      <c r="C143" s="54"/>
      <c r="D143" s="54" t="s">
        <v>124</v>
      </c>
      <c r="E143" s="39">
        <f>'FY21'!S133</f>
        <v>0</v>
      </c>
      <c r="F143" s="39"/>
      <c r="G143" s="39">
        <f>'FY22'!S133</f>
        <v>0</v>
      </c>
      <c r="H143" s="39"/>
      <c r="I143" s="39">
        <f>'FY23'!S133</f>
        <v>0</v>
      </c>
      <c r="J143" s="39"/>
      <c r="K143" s="39">
        <f>'FY24'!S133</f>
        <v>0</v>
      </c>
      <c r="L143" s="39"/>
      <c r="M143" s="39">
        <f>'FY25'!S133</f>
        <v>0</v>
      </c>
    </row>
    <row r="144" spans="1:13" s="37" customFormat="1" ht="12" x14ac:dyDescent="0.2">
      <c r="A144" s="54"/>
      <c r="B144" s="85"/>
      <c r="C144" s="54" t="s">
        <v>125</v>
      </c>
      <c r="D144" s="54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s="37" customFormat="1" ht="12" x14ac:dyDescent="0.2">
      <c r="A145" s="54"/>
      <c r="B145" s="85"/>
      <c r="C145" s="54"/>
      <c r="D145" s="54" t="s">
        <v>129</v>
      </c>
      <c r="E145" s="39">
        <f>'FY21'!S135</f>
        <v>0</v>
      </c>
      <c r="F145" s="39"/>
      <c r="G145" s="39">
        <f>'FY22'!S135</f>
        <v>0</v>
      </c>
      <c r="H145" s="39"/>
      <c r="I145" s="39">
        <f>'FY23'!S135</f>
        <v>0</v>
      </c>
      <c r="J145" s="39"/>
      <c r="K145" s="39">
        <f>'FY24'!S135</f>
        <v>0</v>
      </c>
      <c r="L145" s="39"/>
      <c r="M145" s="39">
        <f>'FY25'!S135</f>
        <v>0</v>
      </c>
    </row>
    <row r="146" spans="1:13" s="37" customFormat="1" ht="12" x14ac:dyDescent="0.2">
      <c r="A146" s="54"/>
      <c r="B146" s="85"/>
      <c r="C146" s="54"/>
      <c r="D146" s="54" t="s">
        <v>130</v>
      </c>
      <c r="E146" s="42">
        <f>'FY21'!S136</f>
        <v>0</v>
      </c>
      <c r="F146" s="39"/>
      <c r="G146" s="42">
        <f>'FY22'!S136</f>
        <v>0</v>
      </c>
      <c r="H146" s="39"/>
      <c r="I146" s="42">
        <f>'FY23'!S136</f>
        <v>0</v>
      </c>
      <c r="J146" s="39"/>
      <c r="K146" s="42">
        <f>'FY24'!S136</f>
        <v>0</v>
      </c>
      <c r="L146" s="39"/>
      <c r="M146" s="42">
        <f>'FY25'!S136</f>
        <v>0</v>
      </c>
    </row>
    <row r="147" spans="1:13" s="37" customFormat="1" ht="12" x14ac:dyDescent="0.2">
      <c r="A147" s="54"/>
      <c r="B147" s="85"/>
      <c r="C147" s="54"/>
      <c r="D147" s="54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s="37" customFormat="1" ht="12" x14ac:dyDescent="0.2">
      <c r="A148" s="54"/>
      <c r="B148" s="54" t="s">
        <v>126</v>
      </c>
      <c r="C148" s="54"/>
      <c r="D148" s="54"/>
      <c r="E148" s="39">
        <f>SUM(E130:E146)</f>
        <v>82017.339717499912</v>
      </c>
      <c r="F148" s="39"/>
      <c r="G148" s="39">
        <f>SUM(G130:G146)</f>
        <v>101034.72043184983</v>
      </c>
      <c r="H148" s="39"/>
      <c r="I148" s="39">
        <f>SUM(I130:I146)</f>
        <v>97553.697212486528</v>
      </c>
      <c r="J148" s="39"/>
      <c r="K148" s="39">
        <f>SUM(K130:K146)</f>
        <v>149349.06659989664</v>
      </c>
      <c r="L148" s="39"/>
      <c r="M148" s="39">
        <f>SUM(M130:M146)</f>
        <v>147344.48533834959</v>
      </c>
    </row>
    <row r="149" spans="1:13" s="37" customFormat="1" ht="12" x14ac:dyDescent="0.2">
      <c r="A149" s="54"/>
      <c r="B149" s="54" t="s">
        <v>127</v>
      </c>
      <c r="C149" s="54"/>
      <c r="D149" s="54"/>
      <c r="E149" s="42">
        <f>'FY21'!E139</f>
        <v>0</v>
      </c>
      <c r="F149" s="39"/>
      <c r="G149" s="42">
        <f>E151</f>
        <v>82017.339717499912</v>
      </c>
      <c r="H149" s="39"/>
      <c r="I149" s="42">
        <f>G151</f>
        <v>183052.06014934974</v>
      </c>
      <c r="J149" s="39"/>
      <c r="K149" s="42">
        <f>I151</f>
        <v>280605.75736183627</v>
      </c>
      <c r="L149" s="39"/>
      <c r="M149" s="42">
        <f>K151</f>
        <v>429954.82396173291</v>
      </c>
    </row>
    <row r="150" spans="1:13" s="37" customFormat="1" ht="12" x14ac:dyDescent="0.2">
      <c r="A150" s="54"/>
      <c r="B150" s="54"/>
      <c r="C150" s="54"/>
      <c r="D150" s="54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s="37" customFormat="1" ht="12.75" thickBot="1" x14ac:dyDescent="0.25">
      <c r="A151" s="53"/>
      <c r="B151" s="53" t="s">
        <v>128</v>
      </c>
      <c r="C151" s="53"/>
      <c r="D151" s="53"/>
      <c r="E151" s="57">
        <f>SUM(E148:E150)</f>
        <v>82017.339717499912</v>
      </c>
      <c r="F151" s="39"/>
      <c r="G151" s="57">
        <f>SUM(G148:G150)</f>
        <v>183052.06014934974</v>
      </c>
      <c r="H151" s="39"/>
      <c r="I151" s="57">
        <f>SUM(I148:I150)</f>
        <v>280605.75736183627</v>
      </c>
      <c r="J151" s="39"/>
      <c r="K151" s="57">
        <f>SUM(K148:K150)</f>
        <v>429954.82396173291</v>
      </c>
      <c r="L151" s="39"/>
      <c r="M151" s="57">
        <f>SUM(M148:M150)</f>
        <v>577299.3093000825</v>
      </c>
    </row>
    <row r="152" spans="1:13" s="37" customFormat="1" ht="12.75" thickTop="1" x14ac:dyDescent="0.2">
      <c r="B152" s="86"/>
      <c r="C152" s="38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s="37" customFormat="1" ht="12" x14ac:dyDescent="0.2">
      <c r="B153" s="86"/>
      <c r="C153" s="38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s="37" customFormat="1" ht="12" x14ac:dyDescent="0.2">
      <c r="B154" s="86"/>
      <c r="C154" s="38"/>
      <c r="D154" s="78" t="s">
        <v>140</v>
      </c>
      <c r="E154" s="77"/>
      <c r="F154" s="39"/>
      <c r="G154" s="77"/>
      <c r="H154" s="39"/>
      <c r="I154" s="77"/>
      <c r="J154" s="39"/>
      <c r="K154" s="77"/>
      <c r="L154" s="39"/>
      <c r="M154" s="77"/>
    </row>
    <row r="155" spans="1:13" s="37" customFormat="1" ht="12" x14ac:dyDescent="0.2">
      <c r="B155" s="86"/>
      <c r="C155" s="38"/>
      <c r="D155" s="76" t="s">
        <v>138</v>
      </c>
      <c r="E155" s="77">
        <f>ROUND(E123-'FY21'!$S$117,0)</f>
        <v>0</v>
      </c>
      <c r="F155" s="39"/>
      <c r="G155" s="77">
        <f>ROUND(G123-'FY22'!$S$117,0)</f>
        <v>0</v>
      </c>
      <c r="H155" s="39"/>
      <c r="I155" s="77">
        <f>ROUND(I123-'FY23'!$S$117,0)</f>
        <v>0</v>
      </c>
      <c r="J155" s="39"/>
      <c r="K155" s="77">
        <f>ROUND(K123-'FY24'!$S$117,0)</f>
        <v>0</v>
      </c>
      <c r="L155" s="39"/>
      <c r="M155" s="77">
        <f>ROUND(M123-'FY25'!$S$117,0)</f>
        <v>0</v>
      </c>
    </row>
    <row r="156" spans="1:13" s="37" customFormat="1" ht="12" x14ac:dyDescent="0.2">
      <c r="B156" s="86"/>
      <c r="C156" s="38"/>
      <c r="D156" s="76" t="s">
        <v>139</v>
      </c>
      <c r="E156" s="77">
        <f>ROUND(E151-'FY21'!$P$141,0)</f>
        <v>0</v>
      </c>
      <c r="F156" s="39"/>
      <c r="G156" s="77">
        <f>ROUND(G151-'FY22'!$P$141,0)</f>
        <v>0</v>
      </c>
      <c r="H156" s="39"/>
      <c r="I156" s="77">
        <f>ROUND(I151-'FY23'!$P$141,0)</f>
        <v>0</v>
      </c>
      <c r="J156" s="39"/>
      <c r="K156" s="77">
        <f>ROUND(K151-'FY24'!$P$141,0)</f>
        <v>0</v>
      </c>
      <c r="L156" s="39"/>
      <c r="M156" s="77">
        <f>ROUND(M151-'FY25'!$P$141,0)</f>
        <v>0</v>
      </c>
    </row>
    <row r="157" spans="1:13" s="37" customFormat="1" ht="12" x14ac:dyDescent="0.2">
      <c r="B157" s="86"/>
      <c r="C157" s="38"/>
      <c r="D157" s="76" t="s">
        <v>242</v>
      </c>
      <c r="E157" s="77">
        <f>E47-Payroll!K74</f>
        <v>0</v>
      </c>
      <c r="F157" s="39"/>
      <c r="G157" s="77">
        <f>G47-Payroll!Y74</f>
        <v>0</v>
      </c>
      <c r="H157" s="39"/>
      <c r="I157" s="77">
        <f>I47-Payroll!AA74</f>
        <v>0</v>
      </c>
      <c r="J157" s="39"/>
      <c r="K157" s="77">
        <f>K47-Payroll!AC74</f>
        <v>0</v>
      </c>
      <c r="L157" s="39"/>
      <c r="M157" s="77">
        <f>M47-Payroll!AE74</f>
        <v>0</v>
      </c>
    </row>
    <row r="158" spans="1:13" s="37" customFormat="1" ht="12" x14ac:dyDescent="0.2">
      <c r="B158" s="86"/>
      <c r="C158" s="38"/>
      <c r="D158" s="76" t="s">
        <v>243</v>
      </c>
      <c r="E158" s="77">
        <f>E68-Payroll!K122</f>
        <v>0</v>
      </c>
      <c r="F158" s="39"/>
      <c r="G158" s="77">
        <f>G68-Payroll!Y122</f>
        <v>-913.10400000000664</v>
      </c>
      <c r="H158" s="39"/>
      <c r="I158" s="77">
        <f>I68-Payroll!AA122</f>
        <v>-2604.6460800000059</v>
      </c>
      <c r="J158" s="39"/>
      <c r="K158" s="77">
        <f>K68-Payroll!AC122</f>
        <v>-4501.0910016000125</v>
      </c>
      <c r="L158" s="39"/>
      <c r="M158" s="77">
        <f>M68-Payroll!AE122</f>
        <v>-6623.6440216320043</v>
      </c>
    </row>
    <row r="159" spans="1:13" s="37" customFormat="1" ht="12" x14ac:dyDescent="0.2">
      <c r="B159" s="86"/>
      <c r="C159" s="38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s="37" customFormat="1" ht="12" x14ac:dyDescent="0.2">
      <c r="B160" s="86"/>
      <c r="C160" s="38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2:13" s="37" customFormat="1" ht="12" x14ac:dyDescent="0.2">
      <c r="B161" s="86"/>
      <c r="C161" s="38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2:13" s="37" customFormat="1" ht="12" x14ac:dyDescent="0.2">
      <c r="B162" s="86"/>
      <c r="C162" s="38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2:13" s="37" customFormat="1" ht="12" x14ac:dyDescent="0.2">
      <c r="B163" s="86"/>
      <c r="C163" s="38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2:13" s="37" customFormat="1" ht="12" x14ac:dyDescent="0.2">
      <c r="B164" s="86"/>
      <c r="C164" s="38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2:13" s="37" customFormat="1" ht="12" x14ac:dyDescent="0.2">
      <c r="B165" s="86"/>
      <c r="C165" s="38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2:13" s="37" customFormat="1" ht="12" x14ac:dyDescent="0.2">
      <c r="B166" s="86"/>
      <c r="C166" s="38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2:13" s="37" customFormat="1" ht="12" x14ac:dyDescent="0.2">
      <c r="B167" s="86"/>
      <c r="C167" s="38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2:13" s="37" customFormat="1" ht="12" x14ac:dyDescent="0.2">
      <c r="B168" s="86"/>
      <c r="C168" s="38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2:13" s="37" customFormat="1" ht="12" x14ac:dyDescent="0.2">
      <c r="B169" s="86"/>
      <c r="C169" s="38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2:13" s="37" customFormat="1" ht="12" x14ac:dyDescent="0.2">
      <c r="B170" s="86"/>
      <c r="C170" s="38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2:13" s="37" customFormat="1" ht="12" x14ac:dyDescent="0.2">
      <c r="B171" s="86"/>
      <c r="C171" s="38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2:13" s="37" customFormat="1" ht="12" x14ac:dyDescent="0.2">
      <c r="B172" s="86"/>
      <c r="C172" s="38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2:13" s="37" customFormat="1" ht="12" x14ac:dyDescent="0.2">
      <c r="B173" s="86"/>
      <c r="C173" s="38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2:13" s="37" customFormat="1" ht="12" x14ac:dyDescent="0.2">
      <c r="B174" s="86"/>
      <c r="C174" s="38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2:13" s="37" customFormat="1" ht="12" x14ac:dyDescent="0.2">
      <c r="B175" s="86"/>
      <c r="C175" s="38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2:13" s="37" customFormat="1" ht="12" x14ac:dyDescent="0.2">
      <c r="B176" s="86"/>
      <c r="C176" s="38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2:13" s="37" customFormat="1" ht="12" x14ac:dyDescent="0.2">
      <c r="B177" s="86"/>
      <c r="C177" s="38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2:13" s="37" customFormat="1" ht="12" x14ac:dyDescent="0.2">
      <c r="B178" s="86"/>
      <c r="C178" s="38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2:13" s="37" customFormat="1" ht="12" x14ac:dyDescent="0.2">
      <c r="B179" s="86"/>
      <c r="C179" s="38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2:13" s="37" customFormat="1" ht="12" x14ac:dyDescent="0.2">
      <c r="B180" s="86"/>
      <c r="C180" s="38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2:13" s="37" customFormat="1" ht="12" x14ac:dyDescent="0.2">
      <c r="B181" s="86"/>
      <c r="C181" s="38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2:13" s="37" customFormat="1" ht="12" x14ac:dyDescent="0.2">
      <c r="B182" s="86"/>
      <c r="C182" s="38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2:13" s="37" customFormat="1" ht="12" x14ac:dyDescent="0.2">
      <c r="B183" s="86"/>
      <c r="C183" s="38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2:13" s="37" customFormat="1" ht="12" x14ac:dyDescent="0.2">
      <c r="B184" s="86"/>
      <c r="C184" s="38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2:13" s="37" customFormat="1" ht="12" x14ac:dyDescent="0.2">
      <c r="B185" s="86"/>
      <c r="C185" s="38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2:13" s="37" customFormat="1" ht="12" x14ac:dyDescent="0.2">
      <c r="B186" s="86"/>
      <c r="C186" s="38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2:13" s="37" customFormat="1" ht="12" x14ac:dyDescent="0.2">
      <c r="B187" s="86"/>
      <c r="C187" s="38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2:13" s="37" customFormat="1" ht="12" x14ac:dyDescent="0.2">
      <c r="B188" s="86"/>
      <c r="C188" s="38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2:13" s="37" customFormat="1" ht="12" x14ac:dyDescent="0.2">
      <c r="B189" s="86"/>
      <c r="C189" s="38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2:13" s="37" customFormat="1" ht="12" x14ac:dyDescent="0.2">
      <c r="B190" s="86"/>
      <c r="C190" s="38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2:13" s="37" customFormat="1" ht="12" x14ac:dyDescent="0.2">
      <c r="B191" s="86"/>
      <c r="C191" s="38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2:13" s="37" customFormat="1" ht="12" x14ac:dyDescent="0.2">
      <c r="B192" s="86"/>
      <c r="C192" s="38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2:13" s="37" customFormat="1" ht="12" x14ac:dyDescent="0.2">
      <c r="B193" s="86"/>
      <c r="C193" s="38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2:13" s="37" customFormat="1" ht="12" x14ac:dyDescent="0.2">
      <c r="B194" s="86"/>
      <c r="C194" s="38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2:13" s="37" customFormat="1" ht="12" x14ac:dyDescent="0.2">
      <c r="B195" s="86"/>
      <c r="C195" s="38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2:13" s="37" customFormat="1" ht="12" x14ac:dyDescent="0.2">
      <c r="B196" s="86"/>
      <c r="C196" s="38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2:13" s="37" customFormat="1" ht="12" x14ac:dyDescent="0.2">
      <c r="B197" s="86"/>
      <c r="C197" s="38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2:13" s="37" customFormat="1" ht="12" x14ac:dyDescent="0.2">
      <c r="B198" s="86"/>
      <c r="C198" s="38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2:13" s="37" customFormat="1" ht="12" x14ac:dyDescent="0.2">
      <c r="B199" s="86"/>
      <c r="C199" s="38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2:13" s="37" customFormat="1" ht="12" x14ac:dyDescent="0.2">
      <c r="B200" s="86"/>
      <c r="C200" s="38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2:13" s="37" customFormat="1" ht="12" x14ac:dyDescent="0.2">
      <c r="B201" s="86"/>
      <c r="C201" s="38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2:13" s="37" customFormat="1" ht="12" x14ac:dyDescent="0.2">
      <c r="B202" s="86"/>
      <c r="C202" s="38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2:13" s="37" customFormat="1" ht="12" x14ac:dyDescent="0.2">
      <c r="B203" s="86"/>
      <c r="C203" s="38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2:13" s="37" customFormat="1" ht="12" x14ac:dyDescent="0.2">
      <c r="B204" s="86"/>
      <c r="C204" s="38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2:13" s="37" customFormat="1" ht="12" x14ac:dyDescent="0.2">
      <c r="B205" s="86"/>
      <c r="C205" s="38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2:13" s="37" customFormat="1" ht="12" x14ac:dyDescent="0.2">
      <c r="B206" s="86"/>
      <c r="C206" s="38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2:13" s="37" customFormat="1" ht="12" x14ac:dyDescent="0.2">
      <c r="B207" s="86"/>
      <c r="C207" s="38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2:13" s="37" customFormat="1" ht="12" x14ac:dyDescent="0.2">
      <c r="B208" s="86"/>
      <c r="C208" s="38"/>
      <c r="E208" s="39"/>
      <c r="F208" s="39"/>
      <c r="G208" s="39"/>
      <c r="H208" s="39"/>
      <c r="I208" s="39"/>
      <c r="J208" s="39"/>
      <c r="K208" s="39"/>
      <c r="L208" s="39"/>
      <c r="M208" s="39"/>
    </row>
    <row r="209" spans="2:13" s="37" customFormat="1" ht="12" x14ac:dyDescent="0.2">
      <c r="B209" s="86"/>
      <c r="C209" s="38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2:13" s="37" customFormat="1" ht="12" x14ac:dyDescent="0.2">
      <c r="B210" s="86"/>
      <c r="C210" s="38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2:13" s="37" customFormat="1" ht="12" x14ac:dyDescent="0.2">
      <c r="B211" s="86"/>
      <c r="C211" s="38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2:13" s="37" customFormat="1" ht="12" x14ac:dyDescent="0.2">
      <c r="B212" s="86"/>
      <c r="C212" s="38"/>
      <c r="E212" s="39"/>
      <c r="F212" s="39"/>
      <c r="G212" s="39"/>
      <c r="H212" s="39"/>
      <c r="I212" s="39"/>
      <c r="J212" s="39"/>
      <c r="K212" s="39"/>
      <c r="L212" s="39"/>
      <c r="M212" s="39"/>
    </row>
    <row r="213" spans="2:13" s="37" customFormat="1" ht="12" x14ac:dyDescent="0.2">
      <c r="B213" s="86"/>
      <c r="C213" s="38"/>
      <c r="E213" s="39"/>
      <c r="F213" s="39"/>
      <c r="G213" s="39"/>
      <c r="H213" s="39"/>
      <c r="I213" s="39"/>
      <c r="J213" s="39"/>
      <c r="K213" s="39"/>
      <c r="L213" s="39"/>
      <c r="M213" s="39"/>
    </row>
    <row r="214" spans="2:13" s="37" customFormat="1" ht="12" x14ac:dyDescent="0.2">
      <c r="B214" s="86"/>
      <c r="C214" s="38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2:13" s="37" customFormat="1" ht="12" x14ac:dyDescent="0.2">
      <c r="B215" s="86"/>
      <c r="C215" s="38"/>
      <c r="E215" s="39"/>
      <c r="F215" s="39"/>
      <c r="G215" s="39"/>
      <c r="H215" s="39"/>
      <c r="I215" s="39"/>
      <c r="J215" s="39"/>
      <c r="K215" s="39"/>
      <c r="L215" s="39"/>
      <c r="M215" s="39"/>
    </row>
    <row r="216" spans="2:13" s="37" customFormat="1" ht="12" x14ac:dyDescent="0.2">
      <c r="B216" s="86"/>
      <c r="C216" s="38"/>
      <c r="E216" s="39"/>
      <c r="F216" s="39"/>
      <c r="G216" s="39"/>
      <c r="H216" s="39"/>
      <c r="I216" s="39"/>
      <c r="J216" s="39"/>
      <c r="K216" s="39"/>
      <c r="L216" s="39"/>
      <c r="M216" s="39"/>
    </row>
    <row r="217" spans="2:13" s="37" customFormat="1" ht="12" x14ac:dyDescent="0.2">
      <c r="B217" s="86"/>
      <c r="C217" s="38"/>
      <c r="E217" s="39"/>
      <c r="F217" s="39"/>
      <c r="G217" s="39"/>
      <c r="H217" s="39"/>
      <c r="I217" s="39"/>
      <c r="J217" s="39"/>
      <c r="K217" s="39"/>
      <c r="L217" s="39"/>
      <c r="M217" s="39"/>
    </row>
    <row r="218" spans="2:13" s="37" customFormat="1" ht="12" x14ac:dyDescent="0.2">
      <c r="B218" s="86"/>
      <c r="C218" s="38"/>
      <c r="E218" s="39"/>
      <c r="F218" s="39"/>
      <c r="G218" s="39"/>
      <c r="H218" s="39"/>
      <c r="I218" s="39"/>
      <c r="J218" s="39"/>
      <c r="K218" s="39"/>
      <c r="L218" s="39"/>
      <c r="M218" s="39"/>
    </row>
    <row r="219" spans="2:13" s="37" customFormat="1" ht="12" x14ac:dyDescent="0.2">
      <c r="B219" s="86"/>
      <c r="C219" s="38"/>
      <c r="E219" s="39"/>
      <c r="F219" s="39"/>
      <c r="G219" s="39"/>
      <c r="H219" s="39"/>
      <c r="I219" s="39"/>
      <c r="J219" s="39"/>
      <c r="K219" s="39"/>
      <c r="L219" s="39"/>
      <c r="M219" s="39"/>
    </row>
    <row r="220" spans="2:13" s="37" customFormat="1" ht="12" x14ac:dyDescent="0.2">
      <c r="B220" s="86"/>
      <c r="C220" s="38"/>
      <c r="E220" s="39"/>
      <c r="F220" s="39"/>
      <c r="G220" s="39"/>
      <c r="H220" s="39"/>
      <c r="I220" s="39"/>
      <c r="J220" s="39"/>
      <c r="K220" s="39"/>
      <c r="L220" s="39"/>
      <c r="M220" s="39"/>
    </row>
    <row r="221" spans="2:13" s="37" customFormat="1" ht="12" x14ac:dyDescent="0.2">
      <c r="B221" s="86"/>
      <c r="C221" s="38"/>
      <c r="E221" s="39"/>
      <c r="F221" s="39"/>
      <c r="G221" s="39"/>
      <c r="H221" s="39"/>
      <c r="I221" s="39"/>
      <c r="J221" s="39"/>
      <c r="K221" s="39"/>
      <c r="L221" s="39"/>
      <c r="M221" s="39"/>
    </row>
    <row r="222" spans="2:13" s="37" customFormat="1" ht="12" x14ac:dyDescent="0.2">
      <c r="B222" s="86"/>
      <c r="C222" s="38"/>
      <c r="E222" s="39"/>
      <c r="F222" s="39"/>
      <c r="G222" s="39"/>
      <c r="H222" s="39"/>
      <c r="I222" s="39"/>
      <c r="J222" s="39"/>
      <c r="K222" s="39"/>
      <c r="L222" s="39"/>
      <c r="M222" s="39"/>
    </row>
    <row r="223" spans="2:13" s="37" customFormat="1" ht="12" x14ac:dyDescent="0.2">
      <c r="B223" s="86"/>
      <c r="C223" s="38"/>
      <c r="E223" s="39"/>
      <c r="F223" s="39"/>
      <c r="G223" s="39"/>
      <c r="H223" s="39"/>
      <c r="I223" s="39"/>
      <c r="J223" s="39"/>
      <c r="K223" s="39"/>
      <c r="L223" s="39"/>
      <c r="M223" s="39"/>
    </row>
    <row r="224" spans="2:13" s="37" customFormat="1" ht="12" x14ac:dyDescent="0.2">
      <c r="B224" s="86"/>
      <c r="C224" s="38"/>
      <c r="E224" s="39"/>
      <c r="F224" s="39"/>
      <c r="G224" s="39"/>
      <c r="H224" s="39"/>
      <c r="I224" s="39"/>
      <c r="J224" s="39"/>
      <c r="K224" s="39"/>
      <c r="L224" s="39"/>
      <c r="M224" s="39"/>
    </row>
    <row r="225" spans="2:13" s="37" customFormat="1" ht="12" x14ac:dyDescent="0.2">
      <c r="B225" s="86"/>
      <c r="C225" s="38"/>
      <c r="E225" s="39"/>
      <c r="F225" s="39"/>
      <c r="G225" s="39"/>
      <c r="H225" s="39"/>
      <c r="I225" s="39"/>
      <c r="J225" s="39"/>
      <c r="K225" s="39"/>
      <c r="L225" s="39"/>
      <c r="M225" s="39"/>
    </row>
    <row r="226" spans="2:13" s="37" customFormat="1" ht="12" x14ac:dyDescent="0.2">
      <c r="B226" s="86"/>
      <c r="C226" s="38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2:13" s="37" customFormat="1" ht="12" x14ac:dyDescent="0.2">
      <c r="B227" s="86"/>
      <c r="C227" s="38"/>
      <c r="E227" s="39"/>
      <c r="F227" s="39"/>
      <c r="G227" s="39"/>
      <c r="H227" s="39"/>
      <c r="I227" s="39"/>
      <c r="J227" s="39"/>
      <c r="K227" s="39"/>
      <c r="L227" s="39"/>
      <c r="M227" s="39"/>
    </row>
    <row r="228" spans="2:13" s="37" customFormat="1" ht="12" x14ac:dyDescent="0.2">
      <c r="B228" s="86"/>
      <c r="C228" s="38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2:13" s="37" customFormat="1" ht="12" x14ac:dyDescent="0.2">
      <c r="B229" s="86"/>
      <c r="C229" s="38"/>
      <c r="E229" s="39"/>
      <c r="F229" s="39"/>
      <c r="G229" s="39"/>
      <c r="H229" s="39"/>
      <c r="I229" s="39"/>
      <c r="J229" s="39"/>
      <c r="K229" s="39"/>
      <c r="L229" s="39"/>
      <c r="M229" s="39"/>
    </row>
    <row r="230" spans="2:13" s="37" customFormat="1" ht="12" x14ac:dyDescent="0.2">
      <c r="B230" s="86"/>
      <c r="C230" s="38"/>
      <c r="E230" s="39"/>
      <c r="F230" s="39"/>
      <c r="G230" s="39"/>
      <c r="H230" s="39"/>
      <c r="I230" s="39"/>
      <c r="J230" s="39"/>
      <c r="K230" s="39"/>
      <c r="L230" s="39"/>
      <c r="M230" s="39"/>
    </row>
    <row r="231" spans="2:13" s="37" customFormat="1" ht="12" x14ac:dyDescent="0.2">
      <c r="B231" s="86"/>
      <c r="C231" s="38"/>
      <c r="E231" s="39"/>
      <c r="F231" s="39"/>
      <c r="G231" s="39"/>
      <c r="H231" s="39"/>
      <c r="I231" s="39"/>
      <c r="J231" s="39"/>
      <c r="K231" s="39"/>
      <c r="L231" s="39"/>
      <c r="M231" s="39"/>
    </row>
    <row r="232" spans="2:13" s="37" customFormat="1" ht="12" x14ac:dyDescent="0.2">
      <c r="B232" s="86"/>
      <c r="C232" s="38"/>
      <c r="E232" s="39"/>
      <c r="F232" s="39"/>
      <c r="G232" s="39"/>
      <c r="H232" s="39"/>
      <c r="I232" s="39"/>
      <c r="J232" s="39"/>
      <c r="K232" s="39"/>
      <c r="L232" s="39"/>
      <c r="M232" s="39"/>
    </row>
    <row r="233" spans="2:13" s="37" customFormat="1" ht="12" x14ac:dyDescent="0.2">
      <c r="B233" s="86"/>
      <c r="C233" s="38"/>
      <c r="E233" s="39"/>
      <c r="F233" s="39"/>
      <c r="G233" s="39"/>
      <c r="H233" s="39"/>
      <c r="I233" s="39"/>
      <c r="J233" s="39"/>
      <c r="K233" s="39"/>
      <c r="L233" s="39"/>
      <c r="M233" s="39"/>
    </row>
    <row r="234" spans="2:13" s="37" customFormat="1" ht="12" x14ac:dyDescent="0.2">
      <c r="B234" s="86"/>
      <c r="C234" s="38"/>
      <c r="E234" s="39"/>
      <c r="F234" s="39"/>
      <c r="G234" s="39"/>
      <c r="H234" s="39"/>
      <c r="I234" s="39"/>
      <c r="J234" s="39"/>
      <c r="K234" s="39"/>
      <c r="L234" s="39"/>
      <c r="M234" s="39"/>
    </row>
    <row r="235" spans="2:13" s="37" customFormat="1" ht="12" x14ac:dyDescent="0.2">
      <c r="B235" s="86"/>
      <c r="C235" s="38"/>
      <c r="E235" s="39"/>
      <c r="F235" s="39"/>
      <c r="G235" s="39"/>
      <c r="H235" s="39"/>
      <c r="I235" s="39"/>
      <c r="J235" s="39"/>
      <c r="K235" s="39"/>
      <c r="L235" s="39"/>
      <c r="M235" s="39"/>
    </row>
    <row r="236" spans="2:13" s="37" customFormat="1" ht="12" x14ac:dyDescent="0.2">
      <c r="B236" s="86"/>
      <c r="C236" s="38"/>
      <c r="E236" s="39"/>
      <c r="F236" s="39"/>
      <c r="G236" s="39"/>
      <c r="H236" s="39"/>
      <c r="I236" s="39"/>
      <c r="J236" s="39"/>
      <c r="K236" s="39"/>
      <c r="L236" s="39"/>
      <c r="M236" s="39"/>
    </row>
    <row r="237" spans="2:13" s="37" customFormat="1" ht="12" x14ac:dyDescent="0.2">
      <c r="B237" s="86"/>
      <c r="C237" s="38"/>
      <c r="E237" s="39"/>
      <c r="F237" s="39"/>
      <c r="G237" s="39"/>
      <c r="H237" s="39"/>
      <c r="I237" s="39"/>
      <c r="J237" s="39"/>
      <c r="K237" s="39"/>
      <c r="L237" s="39"/>
      <c r="M237" s="39"/>
    </row>
    <row r="238" spans="2:13" s="37" customFormat="1" ht="12" x14ac:dyDescent="0.2">
      <c r="B238" s="86"/>
      <c r="C238" s="38"/>
      <c r="E238" s="39"/>
      <c r="F238" s="39"/>
      <c r="G238" s="39"/>
      <c r="H238" s="39"/>
      <c r="I238" s="39"/>
      <c r="J238" s="39"/>
      <c r="K238" s="39"/>
      <c r="L238" s="39"/>
      <c r="M238" s="39"/>
    </row>
    <row r="239" spans="2:13" s="37" customFormat="1" ht="12" x14ac:dyDescent="0.2">
      <c r="B239" s="86"/>
      <c r="C239" s="38"/>
      <c r="E239" s="39"/>
      <c r="F239" s="39"/>
      <c r="G239" s="39"/>
      <c r="H239" s="39"/>
      <c r="I239" s="39"/>
      <c r="J239" s="39"/>
      <c r="K239" s="39"/>
      <c r="L239" s="39"/>
      <c r="M239" s="39"/>
    </row>
    <row r="240" spans="2:13" s="37" customFormat="1" ht="12" x14ac:dyDescent="0.2">
      <c r="B240" s="86"/>
      <c r="C240" s="38"/>
      <c r="E240" s="39"/>
      <c r="F240" s="39"/>
      <c r="G240" s="39"/>
      <c r="H240" s="39"/>
      <c r="I240" s="39"/>
      <c r="J240" s="39"/>
      <c r="K240" s="39"/>
      <c r="L240" s="39"/>
      <c r="M240" s="39"/>
    </row>
    <row r="241" spans="2:13" s="37" customFormat="1" ht="12" x14ac:dyDescent="0.2">
      <c r="B241" s="86"/>
      <c r="C241" s="38"/>
      <c r="E241" s="39"/>
      <c r="F241" s="39"/>
      <c r="G241" s="39"/>
      <c r="H241" s="39"/>
      <c r="I241" s="39"/>
      <c r="J241" s="39"/>
      <c r="K241" s="39"/>
      <c r="L241" s="39"/>
      <c r="M241" s="39"/>
    </row>
    <row r="242" spans="2:13" s="37" customFormat="1" ht="12" x14ac:dyDescent="0.2">
      <c r="B242" s="86"/>
      <c r="C242" s="38"/>
      <c r="E242" s="39"/>
      <c r="F242" s="39"/>
      <c r="G242" s="39"/>
      <c r="H242" s="39"/>
      <c r="I242" s="39"/>
      <c r="J242" s="39"/>
      <c r="K242" s="39"/>
      <c r="L242" s="39"/>
      <c r="M242" s="39"/>
    </row>
    <row r="243" spans="2:13" s="37" customFormat="1" ht="12" x14ac:dyDescent="0.2">
      <c r="B243" s="86"/>
      <c r="C243" s="38"/>
      <c r="E243" s="39"/>
      <c r="F243" s="39"/>
      <c r="G243" s="39"/>
      <c r="H243" s="39"/>
      <c r="I243" s="39"/>
      <c r="J243" s="39"/>
      <c r="K243" s="39"/>
      <c r="L243" s="39"/>
      <c r="M243" s="39"/>
    </row>
    <row r="244" spans="2:13" s="37" customFormat="1" ht="12" x14ac:dyDescent="0.2">
      <c r="B244" s="86"/>
      <c r="C244" s="38"/>
      <c r="E244" s="39"/>
      <c r="F244" s="39"/>
      <c r="G244" s="39"/>
      <c r="H244" s="39"/>
      <c r="I244" s="39"/>
      <c r="J244" s="39"/>
      <c r="K244" s="39"/>
      <c r="L244" s="39"/>
      <c r="M244" s="39"/>
    </row>
    <row r="245" spans="2:13" s="37" customFormat="1" ht="12" x14ac:dyDescent="0.2">
      <c r="B245" s="86"/>
      <c r="C245" s="38"/>
      <c r="E245" s="39"/>
      <c r="F245" s="39"/>
      <c r="G245" s="39"/>
      <c r="H245" s="39"/>
      <c r="I245" s="39"/>
      <c r="J245" s="39"/>
      <c r="K245" s="39"/>
      <c r="L245" s="39"/>
      <c r="M245" s="39"/>
    </row>
    <row r="246" spans="2:13" s="37" customFormat="1" ht="12" x14ac:dyDescent="0.2">
      <c r="B246" s="86"/>
      <c r="C246" s="38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2:13" s="37" customFormat="1" ht="12" x14ac:dyDescent="0.2">
      <c r="B247" s="86"/>
      <c r="C247" s="38"/>
      <c r="E247" s="39"/>
      <c r="F247" s="39"/>
      <c r="G247" s="39"/>
      <c r="H247" s="39"/>
      <c r="I247" s="39"/>
      <c r="J247" s="39"/>
      <c r="K247" s="39"/>
      <c r="L247" s="39"/>
      <c r="M247" s="39"/>
    </row>
    <row r="248" spans="2:13" s="37" customFormat="1" ht="12" x14ac:dyDescent="0.2">
      <c r="B248" s="86"/>
      <c r="C248" s="38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2:13" s="37" customFormat="1" ht="12" x14ac:dyDescent="0.2">
      <c r="B249" s="86"/>
      <c r="C249" s="38"/>
      <c r="E249" s="39"/>
      <c r="F249" s="39"/>
      <c r="G249" s="39"/>
      <c r="H249" s="39"/>
      <c r="I249" s="39"/>
      <c r="J249" s="39"/>
      <c r="K249" s="39"/>
      <c r="L249" s="39"/>
      <c r="M249" s="39"/>
    </row>
    <row r="250" spans="2:13" s="37" customFormat="1" ht="12" x14ac:dyDescent="0.2">
      <c r="B250" s="86"/>
      <c r="C250" s="38"/>
      <c r="E250" s="39"/>
      <c r="F250" s="39"/>
      <c r="G250" s="39"/>
      <c r="H250" s="39"/>
      <c r="I250" s="39"/>
      <c r="J250" s="39"/>
      <c r="K250" s="39"/>
      <c r="L250" s="39"/>
      <c r="M250" s="39"/>
    </row>
    <row r="251" spans="2:13" s="37" customFormat="1" ht="12" x14ac:dyDescent="0.2">
      <c r="B251" s="86"/>
      <c r="C251" s="38"/>
      <c r="E251" s="39"/>
      <c r="F251" s="39"/>
      <c r="G251" s="39"/>
      <c r="H251" s="39"/>
      <c r="I251" s="39"/>
      <c r="J251" s="39"/>
      <c r="K251" s="39"/>
      <c r="L251" s="39"/>
      <c r="M251" s="39"/>
    </row>
    <row r="252" spans="2:13" s="37" customFormat="1" ht="12" x14ac:dyDescent="0.2">
      <c r="B252" s="86"/>
      <c r="C252" s="38"/>
      <c r="E252" s="39"/>
      <c r="F252" s="39"/>
      <c r="G252" s="39"/>
      <c r="H252" s="39"/>
      <c r="I252" s="39"/>
      <c r="J252" s="39"/>
      <c r="K252" s="39"/>
      <c r="L252" s="39"/>
      <c r="M252" s="39"/>
    </row>
    <row r="253" spans="2:13" s="37" customFormat="1" ht="12" x14ac:dyDescent="0.2">
      <c r="B253" s="86"/>
      <c r="C253" s="38"/>
      <c r="E253" s="39"/>
      <c r="F253" s="39"/>
      <c r="G253" s="39"/>
      <c r="H253" s="39"/>
      <c r="I253" s="39"/>
      <c r="J253" s="39"/>
      <c r="K253" s="39"/>
      <c r="L253" s="39"/>
      <c r="M253" s="39"/>
    </row>
    <row r="254" spans="2:13" s="37" customFormat="1" ht="12" x14ac:dyDescent="0.2">
      <c r="B254" s="86"/>
      <c r="C254" s="38"/>
      <c r="E254" s="39"/>
      <c r="F254" s="39"/>
      <c r="G254" s="39"/>
      <c r="H254" s="39"/>
      <c r="I254" s="39"/>
      <c r="J254" s="39"/>
      <c r="K254" s="39"/>
      <c r="L254" s="39"/>
      <c r="M254" s="39"/>
    </row>
    <row r="255" spans="2:13" s="37" customFormat="1" ht="12" x14ac:dyDescent="0.2">
      <c r="B255" s="86"/>
      <c r="C255" s="38"/>
      <c r="E255" s="39"/>
      <c r="F255" s="39"/>
      <c r="G255" s="39"/>
      <c r="H255" s="39"/>
      <c r="I255" s="39"/>
      <c r="J255" s="39"/>
      <c r="K255" s="39"/>
      <c r="L255" s="39"/>
      <c r="M255" s="39"/>
    </row>
    <row r="256" spans="2:13" s="37" customFormat="1" ht="12" x14ac:dyDescent="0.2">
      <c r="B256" s="86"/>
      <c r="C256" s="38"/>
      <c r="E256" s="39"/>
      <c r="F256" s="39"/>
      <c r="G256" s="39"/>
      <c r="H256" s="39"/>
      <c r="I256" s="39"/>
      <c r="J256" s="39"/>
      <c r="K256" s="39"/>
      <c r="L256" s="39"/>
      <c r="M256" s="39"/>
    </row>
    <row r="257" spans="2:13" s="37" customFormat="1" ht="12" x14ac:dyDescent="0.2">
      <c r="B257" s="86"/>
      <c r="C257" s="38"/>
      <c r="E257" s="39"/>
      <c r="F257" s="39"/>
      <c r="G257" s="39"/>
      <c r="H257" s="39"/>
      <c r="I257" s="39"/>
      <c r="J257" s="39"/>
      <c r="K257" s="39"/>
      <c r="L257" s="39"/>
      <c r="M257" s="39"/>
    </row>
    <row r="258" spans="2:13" s="37" customFormat="1" ht="12" x14ac:dyDescent="0.2">
      <c r="B258" s="86"/>
      <c r="C258" s="38"/>
      <c r="E258" s="39"/>
      <c r="F258" s="39"/>
      <c r="G258" s="39"/>
      <c r="H258" s="39"/>
      <c r="I258" s="39"/>
      <c r="J258" s="39"/>
      <c r="K258" s="39"/>
      <c r="L258" s="39"/>
      <c r="M258" s="39"/>
    </row>
    <row r="259" spans="2:13" s="37" customFormat="1" ht="12" x14ac:dyDescent="0.2">
      <c r="B259" s="86"/>
      <c r="C259" s="38"/>
      <c r="E259" s="39"/>
      <c r="F259" s="39"/>
      <c r="G259" s="39"/>
      <c r="H259" s="39"/>
      <c r="I259" s="39"/>
      <c r="J259" s="39"/>
      <c r="K259" s="39"/>
      <c r="L259" s="39"/>
      <c r="M259" s="39"/>
    </row>
    <row r="260" spans="2:13" s="37" customFormat="1" ht="12" x14ac:dyDescent="0.2">
      <c r="B260" s="86"/>
      <c r="C260" s="38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2:13" s="37" customFormat="1" ht="12" x14ac:dyDescent="0.2">
      <c r="B261" s="86"/>
      <c r="C261" s="38"/>
      <c r="E261" s="39"/>
      <c r="F261" s="39"/>
      <c r="G261" s="39"/>
      <c r="H261" s="39"/>
      <c r="I261" s="39"/>
      <c r="J261" s="39"/>
      <c r="K261" s="39"/>
      <c r="L261" s="39"/>
      <c r="M261" s="39"/>
    </row>
    <row r="262" spans="2:13" s="37" customFormat="1" ht="12" x14ac:dyDescent="0.2">
      <c r="B262" s="86"/>
      <c r="C262" s="38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2:13" s="37" customFormat="1" ht="12" x14ac:dyDescent="0.2">
      <c r="B263" s="86"/>
      <c r="C263" s="38"/>
      <c r="E263" s="39"/>
      <c r="F263" s="39"/>
      <c r="G263" s="39"/>
      <c r="H263" s="39"/>
      <c r="I263" s="39"/>
      <c r="J263" s="39"/>
      <c r="K263" s="39"/>
      <c r="L263" s="39"/>
      <c r="M263" s="39"/>
    </row>
    <row r="264" spans="2:13" s="37" customFormat="1" ht="12" x14ac:dyDescent="0.2">
      <c r="B264" s="86"/>
      <c r="C264" s="38"/>
      <c r="E264" s="39"/>
      <c r="F264" s="39"/>
      <c r="G264" s="39"/>
      <c r="H264" s="39"/>
      <c r="I264" s="39"/>
      <c r="J264" s="39"/>
      <c r="K264" s="39"/>
      <c r="L264" s="39"/>
      <c r="M264" s="39"/>
    </row>
    <row r="265" spans="2:13" s="37" customFormat="1" ht="12" x14ac:dyDescent="0.2">
      <c r="B265" s="86"/>
      <c r="C265" s="38"/>
      <c r="E265" s="39"/>
      <c r="F265" s="39"/>
      <c r="G265" s="39"/>
      <c r="H265" s="39"/>
      <c r="I265" s="39"/>
      <c r="J265" s="39"/>
      <c r="K265" s="39"/>
      <c r="L265" s="39"/>
      <c r="M265" s="39"/>
    </row>
    <row r="266" spans="2:13" s="37" customFormat="1" ht="12" x14ac:dyDescent="0.2">
      <c r="B266" s="86"/>
      <c r="C266" s="38"/>
      <c r="E266" s="39"/>
      <c r="F266" s="39"/>
      <c r="G266" s="39"/>
      <c r="H266" s="39"/>
      <c r="I266" s="39"/>
      <c r="J266" s="39"/>
      <c r="K266" s="39"/>
      <c r="L266" s="39"/>
      <c r="M266" s="39"/>
    </row>
    <row r="267" spans="2:13" s="37" customFormat="1" ht="12" x14ac:dyDescent="0.2">
      <c r="B267" s="86"/>
      <c r="C267" s="38"/>
      <c r="E267" s="39"/>
      <c r="F267" s="39"/>
      <c r="G267" s="39"/>
      <c r="H267" s="39"/>
      <c r="I267" s="39"/>
      <c r="J267" s="39"/>
      <c r="K267" s="39"/>
      <c r="L267" s="39"/>
      <c r="M267" s="39"/>
    </row>
    <row r="268" spans="2:13" s="37" customFormat="1" ht="12" x14ac:dyDescent="0.2">
      <c r="B268" s="86"/>
      <c r="C268" s="38"/>
      <c r="E268" s="39"/>
      <c r="F268" s="39"/>
      <c r="G268" s="39"/>
      <c r="H268" s="39"/>
      <c r="I268" s="39"/>
      <c r="J268" s="39"/>
      <c r="K268" s="39"/>
      <c r="L268" s="39"/>
      <c r="M268" s="39"/>
    </row>
    <row r="269" spans="2:13" s="37" customFormat="1" ht="12" x14ac:dyDescent="0.2">
      <c r="B269" s="86"/>
      <c r="C269" s="38"/>
      <c r="E269" s="39"/>
      <c r="F269" s="39"/>
      <c r="G269" s="39"/>
      <c r="H269" s="39"/>
      <c r="I269" s="39"/>
      <c r="J269" s="39"/>
      <c r="K269" s="39"/>
      <c r="L269" s="39"/>
      <c r="M269" s="39"/>
    </row>
    <row r="270" spans="2:13" s="37" customFormat="1" ht="12" x14ac:dyDescent="0.2">
      <c r="B270" s="86"/>
      <c r="C270" s="38"/>
      <c r="E270" s="39"/>
      <c r="F270" s="39"/>
      <c r="G270" s="39"/>
      <c r="H270" s="39"/>
      <c r="I270" s="39"/>
      <c r="J270" s="39"/>
      <c r="K270" s="39"/>
      <c r="L270" s="39"/>
      <c r="M270" s="39"/>
    </row>
    <row r="271" spans="2:13" s="37" customFormat="1" ht="12" x14ac:dyDescent="0.2">
      <c r="B271" s="86"/>
      <c r="C271" s="38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2:13" s="37" customFormat="1" ht="12" x14ac:dyDescent="0.2">
      <c r="B272" s="86"/>
      <c r="C272" s="38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2:13" s="37" customFormat="1" ht="12" x14ac:dyDescent="0.2">
      <c r="B273" s="86"/>
      <c r="C273" s="38"/>
      <c r="E273" s="39"/>
      <c r="F273" s="39"/>
      <c r="G273" s="39"/>
      <c r="H273" s="39"/>
      <c r="I273" s="39"/>
      <c r="J273" s="39"/>
      <c r="K273" s="39"/>
      <c r="L273" s="39"/>
      <c r="M273" s="39"/>
    </row>
    <row r="274" spans="2:13" s="37" customFormat="1" ht="12" x14ac:dyDescent="0.2">
      <c r="B274" s="86"/>
      <c r="C274" s="38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2:13" s="37" customFormat="1" ht="12" x14ac:dyDescent="0.2">
      <c r="B275" s="86"/>
      <c r="C275" s="38"/>
      <c r="E275" s="39"/>
      <c r="F275" s="39"/>
      <c r="G275" s="39"/>
      <c r="H275" s="39"/>
      <c r="I275" s="39"/>
      <c r="J275" s="39"/>
      <c r="K275" s="39"/>
      <c r="L275" s="39"/>
      <c r="M275" s="39"/>
    </row>
    <row r="276" spans="2:13" s="37" customFormat="1" ht="12" x14ac:dyDescent="0.2">
      <c r="B276" s="86"/>
      <c r="C276" s="38"/>
      <c r="E276" s="39"/>
      <c r="F276" s="39"/>
      <c r="G276" s="39"/>
      <c r="H276" s="39"/>
      <c r="I276" s="39"/>
      <c r="J276" s="39"/>
      <c r="K276" s="39"/>
      <c r="L276" s="39"/>
      <c r="M276" s="39"/>
    </row>
    <row r="277" spans="2:13" s="37" customFormat="1" ht="12" x14ac:dyDescent="0.2">
      <c r="B277" s="86"/>
      <c r="C277" s="38"/>
      <c r="E277" s="39"/>
      <c r="F277" s="39"/>
      <c r="G277" s="39"/>
      <c r="H277" s="39"/>
      <c r="I277" s="39"/>
      <c r="J277" s="39"/>
      <c r="K277" s="39"/>
      <c r="L277" s="39"/>
      <c r="M277" s="39"/>
    </row>
    <row r="278" spans="2:13" s="37" customFormat="1" ht="12" x14ac:dyDescent="0.2">
      <c r="B278" s="86"/>
      <c r="C278" s="38"/>
      <c r="E278" s="39"/>
      <c r="F278" s="39"/>
      <c r="G278" s="39"/>
      <c r="H278" s="39"/>
      <c r="I278" s="39"/>
      <c r="J278" s="39"/>
      <c r="K278" s="39"/>
      <c r="L278" s="39"/>
      <c r="M278" s="39"/>
    </row>
    <row r="279" spans="2:13" s="37" customFormat="1" ht="12" x14ac:dyDescent="0.2">
      <c r="B279" s="86"/>
      <c r="C279" s="38"/>
      <c r="E279" s="39"/>
      <c r="F279" s="39"/>
      <c r="G279" s="39"/>
      <c r="H279" s="39"/>
      <c r="I279" s="39"/>
      <c r="J279" s="39"/>
      <c r="K279" s="39"/>
      <c r="L279" s="39"/>
      <c r="M279" s="39"/>
    </row>
    <row r="280" spans="2:13" s="37" customFormat="1" ht="12" x14ac:dyDescent="0.2">
      <c r="B280" s="86"/>
      <c r="C280" s="38"/>
      <c r="E280" s="39"/>
      <c r="F280" s="39"/>
      <c r="G280" s="39"/>
      <c r="H280" s="39"/>
      <c r="I280" s="39"/>
      <c r="J280" s="39"/>
      <c r="K280" s="39"/>
      <c r="L280" s="39"/>
      <c r="M280" s="39"/>
    </row>
    <row r="281" spans="2:13" s="37" customFormat="1" ht="12" x14ac:dyDescent="0.2">
      <c r="B281" s="86"/>
      <c r="C281" s="38"/>
      <c r="E281" s="39"/>
      <c r="F281" s="39"/>
      <c r="G281" s="39"/>
      <c r="H281" s="39"/>
      <c r="I281" s="39"/>
      <c r="J281" s="39"/>
      <c r="K281" s="39"/>
      <c r="L281" s="39"/>
      <c r="M281" s="39"/>
    </row>
    <row r="282" spans="2:13" s="37" customFormat="1" ht="12" x14ac:dyDescent="0.2">
      <c r="B282" s="86"/>
      <c r="C282" s="38"/>
      <c r="E282" s="39"/>
      <c r="F282" s="39"/>
      <c r="G282" s="39"/>
      <c r="H282" s="39"/>
      <c r="I282" s="39"/>
      <c r="J282" s="39"/>
      <c r="K282" s="39"/>
      <c r="L282" s="39"/>
      <c r="M282" s="39"/>
    </row>
    <row r="283" spans="2:13" s="37" customFormat="1" ht="12" x14ac:dyDescent="0.2">
      <c r="B283" s="86"/>
      <c r="C283" s="38"/>
      <c r="E283" s="39"/>
      <c r="F283" s="39"/>
      <c r="G283" s="39"/>
      <c r="H283" s="39"/>
      <c r="I283" s="39"/>
      <c r="J283" s="39"/>
      <c r="K283" s="39"/>
      <c r="L283" s="39"/>
      <c r="M283" s="39"/>
    </row>
    <row r="284" spans="2:13" s="37" customFormat="1" ht="12" x14ac:dyDescent="0.2">
      <c r="B284" s="86"/>
      <c r="C284" s="38"/>
      <c r="E284" s="39"/>
      <c r="F284" s="39"/>
      <c r="G284" s="39"/>
      <c r="H284" s="39"/>
      <c r="I284" s="39"/>
      <c r="J284" s="39"/>
      <c r="K284" s="39"/>
      <c r="L284" s="39"/>
      <c r="M284" s="39"/>
    </row>
    <row r="285" spans="2:13" s="37" customFormat="1" ht="12" x14ac:dyDescent="0.2">
      <c r="B285" s="86"/>
      <c r="C285" s="38"/>
      <c r="E285" s="39"/>
      <c r="F285" s="39"/>
      <c r="G285" s="39"/>
      <c r="H285" s="39"/>
      <c r="I285" s="39"/>
      <c r="J285" s="39"/>
      <c r="K285" s="39"/>
      <c r="L285" s="39"/>
      <c r="M285" s="39"/>
    </row>
    <row r="286" spans="2:13" s="37" customFormat="1" ht="12" x14ac:dyDescent="0.2">
      <c r="B286" s="86"/>
      <c r="C286" s="38"/>
      <c r="E286" s="39"/>
      <c r="F286" s="39"/>
      <c r="G286" s="39"/>
      <c r="H286" s="39"/>
      <c r="I286" s="39"/>
      <c r="J286" s="39"/>
      <c r="K286" s="39"/>
      <c r="L286" s="39"/>
      <c r="M286" s="39"/>
    </row>
    <row r="287" spans="2:13" x14ac:dyDescent="0.25">
      <c r="E287" s="22"/>
      <c r="F287" s="22"/>
      <c r="G287" s="22"/>
      <c r="H287" s="22"/>
      <c r="I287" s="22"/>
      <c r="J287" s="22"/>
      <c r="K287" s="22"/>
      <c r="L287" s="22"/>
      <c r="M287" s="22"/>
    </row>
  </sheetData>
  <sheetProtection algorithmName="SHA-512" hashValue="MO/P8elcd5igFTGDqfBBJDku96MV4fu5ABaFPaQqzzsdNxPoQ6WUlbO4HSzLXsmQk521H3WDxafNlg5w/xmgUg==" saltValue="0Va+E0Q3ePzwJzd/BZRl6Q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Q253"/>
  <sheetViews>
    <sheetView workbookViewId="0">
      <pane xSplit="40" ySplit="5" topLeftCell="AO90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8.28515625" style="14" bestFit="1" customWidth="1"/>
    <col min="5" max="5" width="9.85546875" style="14" bestFit="1" customWidth="1"/>
    <col min="6" max="6" width="10.42578125" style="14" bestFit="1" customWidth="1"/>
    <col min="7" max="9" width="0" style="14" hidden="1" customWidth="1"/>
    <col min="10" max="10" width="8.85546875" style="14"/>
    <col min="11" max="12" width="0" style="14" hidden="1" customWidth="1"/>
    <col min="13" max="16" width="8.85546875" style="14"/>
    <col min="17" max="18" width="8.85546875" style="14" customWidth="1"/>
    <col min="19" max="26" width="8.85546875" style="14"/>
    <col min="27" max="27" width="8.85546875" style="14" customWidth="1"/>
    <col min="28" max="30" width="8.85546875" style="14" hidden="1" customWidth="1"/>
    <col min="31" max="31" width="8.85546875" style="14" customWidth="1"/>
    <col min="32" max="35" width="8.85546875" style="14" hidden="1" customWidth="1"/>
    <col min="36" max="36" width="8.85546875" style="14" customWidth="1"/>
    <col min="37" max="39" width="8.85546875" style="14" hidden="1" customWidth="1"/>
    <col min="40" max="40" width="2.140625" style="28" customWidth="1"/>
    <col min="41" max="41" width="8.85546875" style="21"/>
    <col min="42" max="42" width="2.140625" style="28" customWidth="1"/>
    <col min="43" max="43" width="10.140625" style="261" bestFit="1" customWidth="1"/>
    <col min="44" max="16384" width="8.85546875" style="14"/>
  </cols>
  <sheetData>
    <row r="1" spans="1:43" s="1" customFormat="1" ht="21" x14ac:dyDescent="0.35">
      <c r="A1" s="11" t="str">
        <f>'Rev &amp; Enroll'!$F$5</f>
        <v>Nevada State High School (Henderson)</v>
      </c>
      <c r="B1" s="11"/>
      <c r="C1" s="17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4"/>
      <c r="AO1" s="3"/>
      <c r="AP1" s="24"/>
      <c r="AQ1" s="257"/>
    </row>
    <row r="2" spans="1:43" s="1" customFormat="1" x14ac:dyDescent="0.25">
      <c r="A2" s="12" t="str">
        <f>CONCATENATE("Budget", " ",'Rev &amp; Enroll'!F7," ","by Function-Grant")</f>
        <v>Budget FY21 by Function-Grant</v>
      </c>
      <c r="B2" s="12"/>
      <c r="C2" s="17"/>
      <c r="D2" s="13"/>
      <c r="E2" s="2"/>
      <c r="F2" s="2"/>
      <c r="G2" s="2"/>
      <c r="H2" s="2"/>
      <c r="AN2" s="25"/>
      <c r="AO2" s="2"/>
      <c r="AP2" s="29"/>
      <c r="AQ2" s="257"/>
    </row>
    <row r="3" spans="1:4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25"/>
      <c r="AO3" s="7"/>
      <c r="AP3" s="30"/>
      <c r="AQ3" s="258"/>
    </row>
    <row r="4" spans="1:43" s="9" customFormat="1" ht="24" x14ac:dyDescent="0.25">
      <c r="C4" s="19"/>
      <c r="D4" s="10"/>
      <c r="E4" s="224" t="s">
        <v>258</v>
      </c>
      <c r="F4" s="224" t="s">
        <v>259</v>
      </c>
      <c r="G4" s="224" t="s">
        <v>260</v>
      </c>
      <c r="H4" s="224" t="s">
        <v>261</v>
      </c>
      <c r="I4" s="224" t="s">
        <v>262</v>
      </c>
      <c r="J4" s="224" t="s">
        <v>263</v>
      </c>
      <c r="K4" s="224" t="s">
        <v>264</v>
      </c>
      <c r="L4" s="224" t="s">
        <v>265</v>
      </c>
      <c r="M4" s="224" t="s">
        <v>266</v>
      </c>
      <c r="N4" s="224" t="s">
        <v>267</v>
      </c>
      <c r="O4" s="224" t="s">
        <v>268</v>
      </c>
      <c r="P4" s="224" t="s">
        <v>323</v>
      </c>
      <c r="Q4" s="224" t="s">
        <v>269</v>
      </c>
      <c r="R4" s="224" t="s">
        <v>270</v>
      </c>
      <c r="S4" s="224" t="s">
        <v>271</v>
      </c>
      <c r="T4" s="224" t="s">
        <v>272</v>
      </c>
      <c r="U4" s="224" t="s">
        <v>273</v>
      </c>
      <c r="V4" s="224" t="s">
        <v>274</v>
      </c>
      <c r="W4" s="224" t="s">
        <v>607</v>
      </c>
      <c r="X4" s="224" t="s">
        <v>275</v>
      </c>
      <c r="Y4" s="224" t="s">
        <v>276</v>
      </c>
      <c r="Z4" s="224" t="s">
        <v>277</v>
      </c>
      <c r="AA4" s="224" t="s">
        <v>278</v>
      </c>
      <c r="AB4" s="224" t="s">
        <v>279</v>
      </c>
      <c r="AC4" s="224" t="s">
        <v>280</v>
      </c>
      <c r="AD4" s="224" t="s">
        <v>281</v>
      </c>
      <c r="AE4" s="224" t="s">
        <v>282</v>
      </c>
      <c r="AF4" s="224" t="s">
        <v>283</v>
      </c>
      <c r="AG4" s="224" t="s">
        <v>284</v>
      </c>
      <c r="AH4" s="224" t="s">
        <v>285</v>
      </c>
      <c r="AI4" s="224" t="s">
        <v>286</v>
      </c>
      <c r="AJ4" s="224" t="s">
        <v>287</v>
      </c>
      <c r="AK4" s="224" t="s">
        <v>288</v>
      </c>
      <c r="AL4" s="224" t="s">
        <v>289</v>
      </c>
      <c r="AM4" s="224" t="s">
        <v>290</v>
      </c>
      <c r="AN4" s="26"/>
      <c r="AO4" s="58" t="s">
        <v>55</v>
      </c>
      <c r="AP4" s="26"/>
      <c r="AQ4" s="259" t="s">
        <v>292</v>
      </c>
    </row>
    <row r="5" spans="1:43" s="9" customFormat="1" ht="12" x14ac:dyDescent="0.2">
      <c r="C5" s="19"/>
      <c r="D5" s="209"/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v>29</v>
      </c>
      <c r="AF5" s="39">
        <v>30</v>
      </c>
      <c r="AG5" s="39">
        <v>31</v>
      </c>
      <c r="AH5" s="39">
        <v>32</v>
      </c>
      <c r="AI5" s="39">
        <v>33</v>
      </c>
      <c r="AJ5" s="39">
        <v>34</v>
      </c>
      <c r="AK5" s="39"/>
      <c r="AL5" s="39"/>
      <c r="AM5" s="39"/>
      <c r="AN5" s="41"/>
      <c r="AO5" s="59"/>
      <c r="AP5" s="41"/>
      <c r="AQ5" s="259"/>
    </row>
    <row r="6" spans="1:43" s="37" customFormat="1" ht="12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41"/>
      <c r="AO6" s="59"/>
      <c r="AP6" s="41"/>
      <c r="AQ6" s="260"/>
    </row>
    <row r="7" spans="1:43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1"/>
      <c r="AO7" s="59"/>
      <c r="AP7" s="41"/>
      <c r="AQ7" s="260"/>
    </row>
    <row r="8" spans="1:43" s="37" customFormat="1" ht="12" x14ac:dyDescent="0.2">
      <c r="A8" s="45"/>
      <c r="C8" s="200">
        <v>1110</v>
      </c>
      <c r="D8" s="37" t="s">
        <v>0</v>
      </c>
      <c r="E8" s="370">
        <f>'FY21'!S8</f>
        <v>359250.00249599997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1">
        <v>0</v>
      </c>
      <c r="AA8" s="181">
        <v>0</v>
      </c>
      <c r="AB8" s="181">
        <v>0</v>
      </c>
      <c r="AC8" s="181">
        <v>0</v>
      </c>
      <c r="AD8" s="181">
        <v>0</v>
      </c>
      <c r="AE8" s="181">
        <v>0</v>
      </c>
      <c r="AF8" s="181">
        <v>0</v>
      </c>
      <c r="AG8" s="181">
        <v>0</v>
      </c>
      <c r="AH8" s="181">
        <v>0</v>
      </c>
      <c r="AI8" s="181">
        <v>0</v>
      </c>
      <c r="AJ8" s="181">
        <v>0</v>
      </c>
      <c r="AK8" s="181">
        <v>0</v>
      </c>
      <c r="AL8" s="181">
        <v>0</v>
      </c>
      <c r="AM8" s="181">
        <v>0</v>
      </c>
      <c r="AN8" s="187"/>
      <c r="AO8" s="188">
        <f>SUM(E8:AN8)</f>
        <v>359250.00249599997</v>
      </c>
      <c r="AP8" s="187"/>
      <c r="AQ8" s="260">
        <f>AO8-'FY21'!S8</f>
        <v>0</v>
      </c>
    </row>
    <row r="9" spans="1:43" s="37" customFormat="1" ht="12" x14ac:dyDescent="0.2">
      <c r="A9" s="45"/>
      <c r="C9" s="200">
        <v>1120</v>
      </c>
      <c r="D9" s="37" t="s">
        <v>1</v>
      </c>
      <c r="E9" s="371">
        <f>'FY21'!S9</f>
        <v>394630.68456000002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41"/>
      <c r="AO9" s="59">
        <f>SUM(E9:AN9)</f>
        <v>394630.68456000002</v>
      </c>
      <c r="AP9" s="41"/>
      <c r="AQ9" s="260">
        <f>AO9-'FY21'!S9</f>
        <v>0</v>
      </c>
    </row>
    <row r="10" spans="1:43" s="37" customFormat="1" ht="12" x14ac:dyDescent="0.2">
      <c r="A10" s="45"/>
      <c r="C10" s="200">
        <v>1191</v>
      </c>
      <c r="D10" s="37" t="s">
        <v>2</v>
      </c>
      <c r="E10" s="371">
        <f>'FY21'!S10</f>
        <v>1360.795464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41"/>
      <c r="AO10" s="59">
        <f>SUM(E10:AN10)</f>
        <v>1360.795464</v>
      </c>
      <c r="AP10" s="41"/>
      <c r="AQ10" s="260">
        <f>AO10-'FY21'!S10</f>
        <v>0</v>
      </c>
    </row>
    <row r="11" spans="1:43" s="37" customFormat="1" ht="12" x14ac:dyDescent="0.2">
      <c r="A11" s="45"/>
      <c r="C11" s="200">
        <v>1192</v>
      </c>
      <c r="D11" s="37" t="s">
        <v>3</v>
      </c>
      <c r="E11" s="371">
        <f>'FY21'!S11</f>
        <v>42184.659384000006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41"/>
      <c r="AO11" s="59">
        <f>SUM(E11:AN11)</f>
        <v>42184.659384000006</v>
      </c>
      <c r="AP11" s="41"/>
      <c r="AQ11" s="260">
        <f>AO11-'FY21'!S11</f>
        <v>0</v>
      </c>
    </row>
    <row r="12" spans="1:43" s="37" customFormat="1" ht="12" x14ac:dyDescent="0.2">
      <c r="A12" s="45"/>
      <c r="C12" s="200">
        <v>3110</v>
      </c>
      <c r="D12" s="37" t="s">
        <v>73</v>
      </c>
      <c r="E12" s="371">
        <f>'FY21'!S12</f>
        <v>563369.32209599984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41"/>
      <c r="AO12" s="59">
        <f>SUM(E12:AN12)</f>
        <v>563369.32209599984</v>
      </c>
      <c r="AP12" s="41"/>
      <c r="AQ12" s="260">
        <f>AO12-'FY21'!S12</f>
        <v>0</v>
      </c>
    </row>
    <row r="13" spans="1:43" s="37" customFormat="1" ht="12" x14ac:dyDescent="0.2">
      <c r="A13" s="45"/>
      <c r="C13" s="38"/>
      <c r="E13" s="50">
        <f t="shared" ref="E13:AM13" si="0">SUBTOTAL(9,E8:E12)</f>
        <v>1360795.4639999997</v>
      </c>
      <c r="F13" s="50">
        <f>SUBTOTAL(9,F8:F12)</f>
        <v>0</v>
      </c>
      <c r="G13" s="50">
        <f>SUBTOTAL(9,G8:G12)</f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ref="P13" si="1">SUBTOTAL(9,P8:P12)</f>
        <v>0</v>
      </c>
      <c r="Q13" s="50">
        <f t="shared" si="0"/>
        <v>0</v>
      </c>
      <c r="R13" s="50">
        <f t="shared" ref="R13:AH13" si="2">SUBTOTAL(9,R8:R12)</f>
        <v>0</v>
      </c>
      <c r="S13" s="50">
        <f t="shared" si="2"/>
        <v>0</v>
      </c>
      <c r="T13" s="50">
        <f t="shared" si="2"/>
        <v>0</v>
      </c>
      <c r="U13" s="50">
        <f t="shared" si="2"/>
        <v>0</v>
      </c>
      <c r="V13" s="50">
        <f t="shared" si="2"/>
        <v>0</v>
      </c>
      <c r="W13" s="50">
        <f t="shared" ref="W13" si="3">SUBTOTAL(9,W8:W12)</f>
        <v>0</v>
      </c>
      <c r="X13" s="50">
        <f t="shared" si="2"/>
        <v>0</v>
      </c>
      <c r="Y13" s="50">
        <f t="shared" si="2"/>
        <v>0</v>
      </c>
      <c r="Z13" s="50">
        <f t="shared" si="2"/>
        <v>0</v>
      </c>
      <c r="AA13" s="50">
        <f t="shared" si="2"/>
        <v>0</v>
      </c>
      <c r="AB13" s="50">
        <f t="shared" si="2"/>
        <v>0</v>
      </c>
      <c r="AC13" s="50">
        <f t="shared" si="2"/>
        <v>0</v>
      </c>
      <c r="AD13" s="50">
        <f t="shared" si="2"/>
        <v>0</v>
      </c>
      <c r="AE13" s="50">
        <f t="shared" si="2"/>
        <v>0</v>
      </c>
      <c r="AF13" s="50">
        <f t="shared" si="2"/>
        <v>0</v>
      </c>
      <c r="AG13" s="50">
        <f t="shared" si="2"/>
        <v>0</v>
      </c>
      <c r="AH13" s="50">
        <f t="shared" si="2"/>
        <v>0</v>
      </c>
      <c r="AI13" s="50">
        <f t="shared" si="0"/>
        <v>0</v>
      </c>
      <c r="AJ13" s="50">
        <f t="shared" si="0"/>
        <v>0</v>
      </c>
      <c r="AK13" s="50">
        <f t="shared" si="0"/>
        <v>0</v>
      </c>
      <c r="AL13" s="50">
        <f t="shared" si="0"/>
        <v>0</v>
      </c>
      <c r="AM13" s="50">
        <f t="shared" si="0"/>
        <v>0</v>
      </c>
      <c r="AN13" s="41"/>
      <c r="AO13" s="61">
        <f>SUBTOTAL(9,AO8:AO12)</f>
        <v>1360795.4639999997</v>
      </c>
      <c r="AP13" s="41"/>
      <c r="AQ13" s="260">
        <f>AO13-'FY21'!S13</f>
        <v>0</v>
      </c>
    </row>
    <row r="14" spans="1:43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1"/>
      <c r="AO14" s="59"/>
      <c r="AP14" s="41"/>
      <c r="AQ14" s="260">
        <f>AO14-'FY21'!S14</f>
        <v>0</v>
      </c>
    </row>
    <row r="15" spans="1:43" s="37" customFormat="1" ht="12" x14ac:dyDescent="0.2">
      <c r="A15" s="45"/>
      <c r="C15" s="200">
        <v>3115</v>
      </c>
      <c r="D15" s="37" t="s">
        <v>5</v>
      </c>
      <c r="E15" s="371">
        <f>'FY21'!S15</f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41"/>
      <c r="AO15" s="59">
        <f>SUM(E15:AN15)</f>
        <v>0</v>
      </c>
      <c r="AP15" s="41"/>
      <c r="AQ15" s="260">
        <f>AO15-'FY21'!S15</f>
        <v>0</v>
      </c>
    </row>
    <row r="16" spans="1:43" s="37" customFormat="1" ht="12" x14ac:dyDescent="0.2">
      <c r="A16" s="45" t="s">
        <v>362</v>
      </c>
      <c r="C16" s="200">
        <v>3200</v>
      </c>
      <c r="D16" s="37" t="s">
        <v>6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71">
        <f>+'Rev &amp; Enroll'!F49</f>
        <v>384</v>
      </c>
      <c r="AA16" s="371">
        <v>0</v>
      </c>
      <c r="AB16" s="371">
        <f>+'Rev &amp; Enroll'!F52</f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41"/>
      <c r="AO16" s="59">
        <f>SUM(E16:AN16)</f>
        <v>384</v>
      </c>
      <c r="AP16" s="41"/>
      <c r="AQ16" s="260">
        <f>AO16-'FY21'!S16</f>
        <v>0</v>
      </c>
    </row>
    <row r="17" spans="1:43" s="37" customFormat="1" ht="12" x14ac:dyDescent="0.2">
      <c r="A17" s="45"/>
      <c r="C17" s="38"/>
      <c r="E17" s="50">
        <f t="shared" ref="E17:AO17" si="4">SUBTOTAL(9,E15:E16)</f>
        <v>0</v>
      </c>
      <c r="F17" s="50">
        <f>SUBTOTAL(9,F15:F16)</f>
        <v>0</v>
      </c>
      <c r="G17" s="50">
        <f>SUBTOTAL(9,G15:G16)</f>
        <v>0</v>
      </c>
      <c r="H17" s="50">
        <f t="shared" si="4"/>
        <v>0</v>
      </c>
      <c r="I17" s="50">
        <f t="shared" si="4"/>
        <v>0</v>
      </c>
      <c r="J17" s="50">
        <f t="shared" si="4"/>
        <v>0</v>
      </c>
      <c r="K17" s="50">
        <f t="shared" si="4"/>
        <v>0</v>
      </c>
      <c r="L17" s="50">
        <f t="shared" si="4"/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ref="P17" si="5">SUBTOTAL(9,P15:P16)</f>
        <v>0</v>
      </c>
      <c r="Q17" s="50">
        <f t="shared" si="4"/>
        <v>0</v>
      </c>
      <c r="R17" s="50">
        <f t="shared" ref="R17:AH17" si="6">SUBTOTAL(9,R15:R16)</f>
        <v>0</v>
      </c>
      <c r="S17" s="50">
        <f t="shared" si="6"/>
        <v>0</v>
      </c>
      <c r="T17" s="50">
        <f t="shared" si="6"/>
        <v>0</v>
      </c>
      <c r="U17" s="50">
        <f t="shared" si="6"/>
        <v>0</v>
      </c>
      <c r="V17" s="50">
        <f t="shared" si="6"/>
        <v>0</v>
      </c>
      <c r="W17" s="50">
        <f t="shared" ref="W17" si="7">SUBTOTAL(9,W15:W16)</f>
        <v>0</v>
      </c>
      <c r="X17" s="50">
        <f t="shared" si="6"/>
        <v>0</v>
      </c>
      <c r="Y17" s="50">
        <f t="shared" si="6"/>
        <v>0</v>
      </c>
      <c r="Z17" s="50">
        <f t="shared" si="6"/>
        <v>384</v>
      </c>
      <c r="AA17" s="50">
        <f t="shared" si="6"/>
        <v>0</v>
      </c>
      <c r="AB17" s="50">
        <f t="shared" si="6"/>
        <v>0</v>
      </c>
      <c r="AC17" s="50">
        <f t="shared" si="6"/>
        <v>0</v>
      </c>
      <c r="AD17" s="50">
        <f t="shared" si="6"/>
        <v>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6"/>
        <v>0</v>
      </c>
      <c r="AI17" s="50">
        <f t="shared" si="4"/>
        <v>0</v>
      </c>
      <c r="AJ17" s="50">
        <f t="shared" si="4"/>
        <v>0</v>
      </c>
      <c r="AK17" s="50">
        <f t="shared" si="4"/>
        <v>0</v>
      </c>
      <c r="AL17" s="50">
        <f t="shared" si="4"/>
        <v>0</v>
      </c>
      <c r="AM17" s="50">
        <f t="shared" si="4"/>
        <v>0</v>
      </c>
      <c r="AN17" s="41"/>
      <c r="AO17" s="61">
        <f t="shared" si="4"/>
        <v>384</v>
      </c>
      <c r="AP17" s="41"/>
      <c r="AQ17" s="260">
        <f>AO17-'FY21'!S17</f>
        <v>0</v>
      </c>
    </row>
    <row r="18" spans="1:43" s="37" customFormat="1" ht="12" x14ac:dyDescent="0.2">
      <c r="A18" s="45"/>
      <c r="C18" s="49" t="s">
        <v>148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1"/>
      <c r="AO18" s="59"/>
      <c r="AP18" s="41"/>
      <c r="AQ18" s="260">
        <f>AO18-'FY21'!S18</f>
        <v>0</v>
      </c>
    </row>
    <row r="19" spans="1:43" s="37" customFormat="1" ht="12" x14ac:dyDescent="0.2">
      <c r="A19" s="45" t="s">
        <v>363</v>
      </c>
      <c r="C19" s="200">
        <v>4500</v>
      </c>
      <c r="D19" s="37" t="s">
        <v>6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71">
        <f>+'Rev &amp; Enroll'!F55</f>
        <v>0</v>
      </c>
      <c r="AF19" s="371">
        <v>0</v>
      </c>
      <c r="AG19" s="371">
        <v>0</v>
      </c>
      <c r="AH19" s="371">
        <v>0</v>
      </c>
      <c r="AI19" s="371">
        <v>0</v>
      </c>
      <c r="AJ19" s="371">
        <f>+'Rev &amp; Enroll'!F57</f>
        <v>0</v>
      </c>
      <c r="AK19" s="39">
        <v>0</v>
      </c>
      <c r="AL19" s="39">
        <v>0</v>
      </c>
      <c r="AM19" s="39">
        <v>0</v>
      </c>
      <c r="AN19" s="41"/>
      <c r="AO19" s="59">
        <f>SUM(E19:AN19)</f>
        <v>0</v>
      </c>
      <c r="AP19" s="41"/>
      <c r="AQ19" s="260">
        <f>AO19-'FY21'!S19</f>
        <v>0</v>
      </c>
    </row>
    <row r="20" spans="1:43" s="37" customFormat="1" ht="12" x14ac:dyDescent="0.2">
      <c r="A20" s="45"/>
      <c r="C20" s="200">
        <v>4571</v>
      </c>
      <c r="D20" s="37" t="s">
        <v>7</v>
      </c>
      <c r="E20" s="372">
        <f>+'Rev &amp; Enroll'!F59</f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/>
      <c r="AO20" s="62">
        <f>SUM(E20:AN20)</f>
        <v>0</v>
      </c>
      <c r="AP20" s="41"/>
      <c r="AQ20" s="260">
        <f>AO20-'FY21'!S20</f>
        <v>0</v>
      </c>
    </row>
    <row r="21" spans="1:43" s="37" customFormat="1" ht="12" x14ac:dyDescent="0.2">
      <c r="A21" s="45"/>
      <c r="C21" s="38">
        <v>4703</v>
      </c>
      <c r="D21" s="37" t="s">
        <v>185</v>
      </c>
      <c r="E21" s="372">
        <f>+'Rev &amp; Enroll'!F60</f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/>
      <c r="AO21" s="62">
        <f>SUM(E21:AN21)</f>
        <v>0</v>
      </c>
      <c r="AP21" s="41"/>
      <c r="AQ21" s="260">
        <f>AO21-'FY21'!S21</f>
        <v>0</v>
      </c>
    </row>
    <row r="22" spans="1:43" s="37" customFormat="1" ht="12" x14ac:dyDescent="0.2">
      <c r="A22" s="45"/>
      <c r="C22" s="38"/>
      <c r="E22" s="50">
        <f t="shared" ref="E22:AM22" si="8">SUBTOTAL(9,E19:E21)</f>
        <v>0</v>
      </c>
      <c r="F22" s="50">
        <f>SUBTOTAL(9,F19:F21)</f>
        <v>0</v>
      </c>
      <c r="G22" s="50">
        <f>SUBTOTAL(9,G19:G21)</f>
        <v>0</v>
      </c>
      <c r="H22" s="50">
        <f t="shared" si="8"/>
        <v>0</v>
      </c>
      <c r="I22" s="50">
        <f t="shared" si="8"/>
        <v>0</v>
      </c>
      <c r="J22" s="50">
        <f t="shared" si="8"/>
        <v>0</v>
      </c>
      <c r="K22" s="50">
        <f t="shared" si="8"/>
        <v>0</v>
      </c>
      <c r="L22" s="50">
        <f t="shared" si="8"/>
        <v>0</v>
      </c>
      <c r="M22" s="50">
        <f t="shared" si="8"/>
        <v>0</v>
      </c>
      <c r="N22" s="50">
        <f t="shared" si="8"/>
        <v>0</v>
      </c>
      <c r="O22" s="50">
        <f t="shared" si="8"/>
        <v>0</v>
      </c>
      <c r="P22" s="50">
        <f t="shared" ref="P22" si="9">SUBTOTAL(9,P19:P21)</f>
        <v>0</v>
      </c>
      <c r="Q22" s="50">
        <f t="shared" si="8"/>
        <v>0</v>
      </c>
      <c r="R22" s="50">
        <f t="shared" ref="R22:AH22" si="10">SUBTOTAL(9,R19:R21)</f>
        <v>0</v>
      </c>
      <c r="S22" s="50">
        <f t="shared" si="10"/>
        <v>0</v>
      </c>
      <c r="T22" s="50">
        <f t="shared" si="10"/>
        <v>0</v>
      </c>
      <c r="U22" s="50">
        <f t="shared" si="10"/>
        <v>0</v>
      </c>
      <c r="V22" s="50">
        <f t="shared" si="10"/>
        <v>0</v>
      </c>
      <c r="W22" s="50">
        <f t="shared" ref="W22" si="11">SUBTOTAL(9,W19:W21)</f>
        <v>0</v>
      </c>
      <c r="X22" s="50">
        <f t="shared" si="10"/>
        <v>0</v>
      </c>
      <c r="Y22" s="50">
        <f t="shared" si="10"/>
        <v>0</v>
      </c>
      <c r="Z22" s="50">
        <f t="shared" si="10"/>
        <v>0</v>
      </c>
      <c r="AA22" s="50">
        <f t="shared" si="10"/>
        <v>0</v>
      </c>
      <c r="AB22" s="50">
        <f t="shared" si="10"/>
        <v>0</v>
      </c>
      <c r="AC22" s="50">
        <f t="shared" si="10"/>
        <v>0</v>
      </c>
      <c r="AD22" s="50">
        <f t="shared" si="10"/>
        <v>0</v>
      </c>
      <c r="AE22" s="50">
        <f>SUBTOTAL(9,AE19:AE21)</f>
        <v>0</v>
      </c>
      <c r="AF22" s="50">
        <f t="shared" si="10"/>
        <v>0</v>
      </c>
      <c r="AG22" s="50">
        <f t="shared" si="10"/>
        <v>0</v>
      </c>
      <c r="AH22" s="50">
        <f t="shared" si="10"/>
        <v>0</v>
      </c>
      <c r="AI22" s="50">
        <f t="shared" si="8"/>
        <v>0</v>
      </c>
      <c r="AJ22" s="50">
        <f t="shared" si="8"/>
        <v>0</v>
      </c>
      <c r="AK22" s="50">
        <f t="shared" si="8"/>
        <v>0</v>
      </c>
      <c r="AL22" s="50">
        <f t="shared" si="8"/>
        <v>0</v>
      </c>
      <c r="AM22" s="50">
        <f t="shared" si="8"/>
        <v>0</v>
      </c>
      <c r="AN22" s="41"/>
      <c r="AO22" s="61">
        <f>SUBTOTAL(9,AO19:AO21)</f>
        <v>0</v>
      </c>
      <c r="AP22" s="41"/>
      <c r="AQ22" s="260">
        <f>AO22-'FY21'!S22</f>
        <v>0</v>
      </c>
    </row>
    <row r="23" spans="1:43" s="37" customFormat="1" ht="12" x14ac:dyDescent="0.2">
      <c r="A23" s="45"/>
      <c r="C23" s="49" t="s">
        <v>149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1"/>
      <c r="AO23" s="62"/>
      <c r="AP23" s="41"/>
      <c r="AQ23" s="260">
        <f>AO23-'FY21'!S23</f>
        <v>0</v>
      </c>
    </row>
    <row r="24" spans="1:43" s="37" customFormat="1" ht="12" x14ac:dyDescent="0.2">
      <c r="A24" s="45"/>
      <c r="C24" s="200">
        <v>1790</v>
      </c>
      <c r="D24" s="37" t="s">
        <v>4</v>
      </c>
      <c r="E24" s="39">
        <f>'FY21'!S24</f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41"/>
      <c r="AO24" s="59">
        <f>SUM(E24:AN24)</f>
        <v>0</v>
      </c>
      <c r="AP24" s="41"/>
      <c r="AQ24" s="260">
        <f>AO24-'FY21'!S24</f>
        <v>0</v>
      </c>
    </row>
    <row r="25" spans="1:43" s="37" customFormat="1" ht="12" x14ac:dyDescent="0.2">
      <c r="A25" s="45"/>
      <c r="C25" s="38"/>
      <c r="E25" s="50">
        <f t="shared" ref="E25:AO25" si="12">SUBTOTAL(9,E24)</f>
        <v>0</v>
      </c>
      <c r="F25" s="50">
        <f>SUBTOTAL(9,F24)</f>
        <v>0</v>
      </c>
      <c r="G25" s="50">
        <f>SUBTOTAL(9,G24)</f>
        <v>0</v>
      </c>
      <c r="H25" s="50">
        <f t="shared" si="12"/>
        <v>0</v>
      </c>
      <c r="I25" s="50">
        <f t="shared" si="12"/>
        <v>0</v>
      </c>
      <c r="J25" s="50">
        <f t="shared" si="12"/>
        <v>0</v>
      </c>
      <c r="K25" s="50">
        <f t="shared" si="12"/>
        <v>0</v>
      </c>
      <c r="L25" s="50">
        <f t="shared" si="12"/>
        <v>0</v>
      </c>
      <c r="M25" s="50">
        <f t="shared" si="12"/>
        <v>0</v>
      </c>
      <c r="N25" s="50">
        <f t="shared" si="12"/>
        <v>0</v>
      </c>
      <c r="O25" s="50">
        <f t="shared" si="12"/>
        <v>0</v>
      </c>
      <c r="P25" s="50">
        <f t="shared" ref="P25" si="13">SUBTOTAL(9,P24)</f>
        <v>0</v>
      </c>
      <c r="Q25" s="50">
        <f t="shared" si="12"/>
        <v>0</v>
      </c>
      <c r="R25" s="50">
        <f t="shared" ref="R25:AH25" si="14">SUBTOTAL(9,R24)</f>
        <v>0</v>
      </c>
      <c r="S25" s="50">
        <f t="shared" si="14"/>
        <v>0</v>
      </c>
      <c r="T25" s="50">
        <f t="shared" si="14"/>
        <v>0</v>
      </c>
      <c r="U25" s="50">
        <f t="shared" si="14"/>
        <v>0</v>
      </c>
      <c r="V25" s="50">
        <f t="shared" si="14"/>
        <v>0</v>
      </c>
      <c r="W25" s="50">
        <f t="shared" ref="W25" si="15">SUBTOTAL(9,W24)</f>
        <v>0</v>
      </c>
      <c r="X25" s="50">
        <f t="shared" si="14"/>
        <v>0</v>
      </c>
      <c r="Y25" s="50">
        <f t="shared" si="14"/>
        <v>0</v>
      </c>
      <c r="Z25" s="50">
        <f t="shared" si="14"/>
        <v>0</v>
      </c>
      <c r="AA25" s="50">
        <f t="shared" si="14"/>
        <v>0</v>
      </c>
      <c r="AB25" s="50">
        <f t="shared" si="14"/>
        <v>0</v>
      </c>
      <c r="AC25" s="50">
        <f t="shared" si="14"/>
        <v>0</v>
      </c>
      <c r="AD25" s="50">
        <f t="shared" si="14"/>
        <v>0</v>
      </c>
      <c r="AE25" s="50">
        <f t="shared" si="14"/>
        <v>0</v>
      </c>
      <c r="AF25" s="50">
        <f t="shared" si="14"/>
        <v>0</v>
      </c>
      <c r="AG25" s="50">
        <f t="shared" si="14"/>
        <v>0</v>
      </c>
      <c r="AH25" s="50">
        <f t="shared" si="14"/>
        <v>0</v>
      </c>
      <c r="AI25" s="50">
        <f t="shared" si="12"/>
        <v>0</v>
      </c>
      <c r="AJ25" s="50">
        <f t="shared" si="12"/>
        <v>0</v>
      </c>
      <c r="AK25" s="50">
        <f t="shared" si="12"/>
        <v>0</v>
      </c>
      <c r="AL25" s="50">
        <f t="shared" si="12"/>
        <v>0</v>
      </c>
      <c r="AM25" s="50">
        <f t="shared" si="12"/>
        <v>0</v>
      </c>
      <c r="AN25" s="41"/>
      <c r="AO25" s="61">
        <f t="shared" si="12"/>
        <v>0</v>
      </c>
      <c r="AP25" s="41"/>
      <c r="AQ25" s="260">
        <f>AO25-'FY21'!S25</f>
        <v>0</v>
      </c>
    </row>
    <row r="26" spans="1:4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1"/>
      <c r="AO26" s="59"/>
      <c r="AP26" s="41"/>
      <c r="AQ26" s="260">
        <f>AO26-'FY21'!S26</f>
        <v>0</v>
      </c>
    </row>
    <row r="27" spans="1:43" s="45" customFormat="1" ht="12" x14ac:dyDescent="0.2">
      <c r="A27" s="45" t="s">
        <v>105</v>
      </c>
      <c r="C27" s="46"/>
      <c r="E27" s="43">
        <f t="shared" ref="E27:AM27" si="16">SUBTOTAL(9,E8:E26)</f>
        <v>1360795.4639999997</v>
      </c>
      <c r="F27" s="43">
        <f>SUBTOTAL(9,F8:F26)</f>
        <v>0</v>
      </c>
      <c r="G27" s="43">
        <f>SUBTOTAL(9,G8:G26)</f>
        <v>0</v>
      </c>
      <c r="H27" s="43">
        <f t="shared" si="16"/>
        <v>0</v>
      </c>
      <c r="I27" s="43">
        <f t="shared" si="16"/>
        <v>0</v>
      </c>
      <c r="J27" s="43">
        <f t="shared" si="16"/>
        <v>0</v>
      </c>
      <c r="K27" s="43">
        <f t="shared" si="16"/>
        <v>0</v>
      </c>
      <c r="L27" s="43">
        <f t="shared" si="16"/>
        <v>0</v>
      </c>
      <c r="M27" s="43">
        <f t="shared" si="16"/>
        <v>0</v>
      </c>
      <c r="N27" s="43">
        <f t="shared" si="16"/>
        <v>0</v>
      </c>
      <c r="O27" s="43">
        <f t="shared" si="16"/>
        <v>0</v>
      </c>
      <c r="P27" s="43">
        <f t="shared" ref="P27" si="17">SUBTOTAL(9,P8:P26)</f>
        <v>0</v>
      </c>
      <c r="Q27" s="43">
        <f t="shared" si="16"/>
        <v>0</v>
      </c>
      <c r="R27" s="43">
        <f t="shared" ref="R27:AH27" si="18">SUBTOTAL(9,R8:R26)</f>
        <v>0</v>
      </c>
      <c r="S27" s="43">
        <f t="shared" si="18"/>
        <v>0</v>
      </c>
      <c r="T27" s="43">
        <f t="shared" si="18"/>
        <v>0</v>
      </c>
      <c r="U27" s="43">
        <f t="shared" si="18"/>
        <v>0</v>
      </c>
      <c r="V27" s="43">
        <f t="shared" si="18"/>
        <v>0</v>
      </c>
      <c r="W27" s="43">
        <f t="shared" ref="W27" si="19">SUBTOTAL(9,W8:W26)</f>
        <v>0</v>
      </c>
      <c r="X27" s="43">
        <f t="shared" si="18"/>
        <v>0</v>
      </c>
      <c r="Y27" s="43">
        <f t="shared" si="18"/>
        <v>0</v>
      </c>
      <c r="Z27" s="43">
        <f t="shared" si="18"/>
        <v>384</v>
      </c>
      <c r="AA27" s="43">
        <f t="shared" si="18"/>
        <v>0</v>
      </c>
      <c r="AB27" s="43">
        <f t="shared" si="18"/>
        <v>0</v>
      </c>
      <c r="AC27" s="43">
        <f t="shared" si="18"/>
        <v>0</v>
      </c>
      <c r="AD27" s="43">
        <f t="shared" si="18"/>
        <v>0</v>
      </c>
      <c r="AE27" s="43">
        <f t="shared" si="18"/>
        <v>0</v>
      </c>
      <c r="AF27" s="43">
        <f t="shared" si="18"/>
        <v>0</v>
      </c>
      <c r="AG27" s="43">
        <f t="shared" si="18"/>
        <v>0</v>
      </c>
      <c r="AH27" s="43">
        <f t="shared" si="18"/>
        <v>0</v>
      </c>
      <c r="AI27" s="43">
        <f t="shared" si="16"/>
        <v>0</v>
      </c>
      <c r="AJ27" s="43">
        <f t="shared" si="16"/>
        <v>0</v>
      </c>
      <c r="AK27" s="43">
        <f t="shared" si="16"/>
        <v>0</v>
      </c>
      <c r="AL27" s="43">
        <f t="shared" si="16"/>
        <v>0</v>
      </c>
      <c r="AM27" s="43">
        <f t="shared" si="16"/>
        <v>0</v>
      </c>
      <c r="AN27" s="48"/>
      <c r="AO27" s="60">
        <f>SUBTOTAL(9,AO8:AO26)</f>
        <v>1361179.4639999997</v>
      </c>
      <c r="AP27" s="48"/>
      <c r="AQ27" s="260">
        <f>AO27-'FY21'!S27</f>
        <v>0</v>
      </c>
    </row>
    <row r="28" spans="1:4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8"/>
      <c r="AO28" s="59"/>
      <c r="AP28" s="48"/>
      <c r="AQ28" s="260">
        <f>AO28-'FY21'!S28</f>
        <v>0</v>
      </c>
    </row>
    <row r="29" spans="1:4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1"/>
      <c r="AO29" s="59"/>
      <c r="AP29" s="41"/>
      <c r="AQ29" s="260">
        <f>AO29-'FY21'!S29</f>
        <v>0</v>
      </c>
    </row>
    <row r="30" spans="1:4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1"/>
      <c r="AO30" s="59"/>
      <c r="AP30" s="41"/>
      <c r="AQ30" s="260">
        <f>AO30-'FY21'!S30</f>
        <v>0</v>
      </c>
    </row>
    <row r="31" spans="1:43" s="37" customFormat="1" ht="12" x14ac:dyDescent="0.2">
      <c r="C31" s="200">
        <v>6111</v>
      </c>
      <c r="D31" s="37" t="s">
        <v>191</v>
      </c>
      <c r="E31" s="39">
        <v>0</v>
      </c>
      <c r="F31" s="371">
        <f>'FY21'!S31</f>
        <v>109442.56499999999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41"/>
      <c r="AO31" s="59">
        <f t="shared" ref="AO31:AO40" si="20">SUM(E31:AN31)</f>
        <v>109442.56499999999</v>
      </c>
      <c r="AP31" s="41"/>
      <c r="AQ31" s="260">
        <f>AO31-'FY21'!S31</f>
        <v>0</v>
      </c>
    </row>
    <row r="32" spans="1:43" s="37" customFormat="1" ht="12" x14ac:dyDescent="0.2">
      <c r="C32" s="200">
        <v>6114</v>
      </c>
      <c r="D32" s="37" t="s">
        <v>192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71">
        <f>'FY21'!S32</f>
        <v>98381.25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41"/>
      <c r="AO32" s="59">
        <f t="shared" si="20"/>
        <v>98381.25</v>
      </c>
      <c r="AP32" s="41"/>
      <c r="AQ32" s="260">
        <f>AO32-'FY21'!S32</f>
        <v>0</v>
      </c>
    </row>
    <row r="33" spans="3:43" s="37" customFormat="1" ht="12" x14ac:dyDescent="0.2">
      <c r="C33" s="200">
        <v>6117</v>
      </c>
      <c r="D33" s="37" t="s">
        <v>228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71">
        <f>'FY21'!S33</f>
        <v>46081.079999999987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41"/>
      <c r="AO33" s="59">
        <f t="shared" si="20"/>
        <v>46081.079999999987</v>
      </c>
      <c r="AP33" s="41"/>
      <c r="AQ33" s="260">
        <f>AO33-'FY21'!S33</f>
        <v>0</v>
      </c>
    </row>
    <row r="34" spans="3:43" s="37" customFormat="1" ht="12" x14ac:dyDescent="0.2">
      <c r="C34" s="200">
        <v>6127</v>
      </c>
      <c r="D34" s="37" t="s">
        <v>229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71">
        <f>'FY21'!S34</f>
        <v>39520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41"/>
      <c r="AO34" s="59">
        <f t="shared" si="20"/>
        <v>39520</v>
      </c>
      <c r="AP34" s="41"/>
      <c r="AQ34" s="260">
        <f>AO34-'FY21'!S34</f>
        <v>0</v>
      </c>
    </row>
    <row r="35" spans="3:43" s="37" customFormat="1" ht="12" x14ac:dyDescent="0.2">
      <c r="C35" s="200">
        <v>6151</v>
      </c>
      <c r="D35" s="37" t="s">
        <v>189</v>
      </c>
      <c r="E35" s="39">
        <v>0</v>
      </c>
      <c r="F35" s="371">
        <f>'FY21'!S35</f>
        <v>6000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41"/>
      <c r="AO35" s="59">
        <f t="shared" si="20"/>
        <v>6000</v>
      </c>
      <c r="AP35" s="41"/>
      <c r="AQ35" s="260">
        <f>AO35-'FY21'!S35</f>
        <v>0</v>
      </c>
    </row>
    <row r="36" spans="3:43" s="37" customFormat="1" ht="12" x14ac:dyDescent="0.2">
      <c r="C36" s="200">
        <v>6154</v>
      </c>
      <c r="D36" s="37" t="s">
        <v>190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71">
        <f>'FY21'!S36</f>
        <v>6895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41"/>
      <c r="AO36" s="59">
        <f t="shared" si="20"/>
        <v>6895</v>
      </c>
      <c r="AP36" s="41"/>
      <c r="AQ36" s="260">
        <f>AO36-'FY21'!S36</f>
        <v>0</v>
      </c>
    </row>
    <row r="37" spans="3:43" s="37" customFormat="1" ht="12" x14ac:dyDescent="0.2">
      <c r="C37" s="200">
        <v>6157</v>
      </c>
      <c r="D37" s="37" t="s">
        <v>230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71">
        <f>'FY21'!S37</f>
        <v>3000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41"/>
      <c r="AO37" s="59">
        <f t="shared" si="20"/>
        <v>3000</v>
      </c>
      <c r="AP37" s="41"/>
      <c r="AQ37" s="260">
        <f>AO37-'FY21'!S37</f>
        <v>0</v>
      </c>
    </row>
    <row r="38" spans="3:43" s="37" customFormat="1" ht="12" x14ac:dyDescent="0.2">
      <c r="C38" s="200">
        <v>6161</v>
      </c>
      <c r="D38" s="37" t="s">
        <v>97</v>
      </c>
      <c r="E38" s="39">
        <v>0</v>
      </c>
      <c r="F38" s="371">
        <f>'FY21'!S38</f>
        <v>1200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41"/>
      <c r="AO38" s="59">
        <f t="shared" si="20"/>
        <v>1200</v>
      </c>
      <c r="AP38" s="41"/>
      <c r="AQ38" s="260">
        <f>AO38-'FY21'!S38</f>
        <v>0</v>
      </c>
    </row>
    <row r="39" spans="3:43" s="37" customFormat="1" ht="12" x14ac:dyDescent="0.2">
      <c r="C39" s="200">
        <v>6164</v>
      </c>
      <c r="D39" s="37" t="s">
        <v>98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71">
        <f>'FY21'!S39</f>
        <v>1000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41"/>
      <c r="AO39" s="59">
        <f t="shared" si="20"/>
        <v>1000</v>
      </c>
      <c r="AP39" s="41"/>
      <c r="AQ39" s="260">
        <f>AO39-'FY21'!S39</f>
        <v>0</v>
      </c>
    </row>
    <row r="40" spans="3:43" s="37" customFormat="1" ht="12" x14ac:dyDescent="0.2">
      <c r="C40" s="200">
        <v>6167</v>
      </c>
      <c r="D40" s="37" t="s">
        <v>231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71">
        <f>'FY21'!S40</f>
        <v>600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41"/>
      <c r="AO40" s="59">
        <f t="shared" si="20"/>
        <v>600</v>
      </c>
      <c r="AP40" s="41"/>
      <c r="AQ40" s="260">
        <f>AO40-'FY21'!S40</f>
        <v>0</v>
      </c>
    </row>
    <row r="41" spans="3:43" s="37" customFormat="1" ht="12" x14ac:dyDescent="0.2">
      <c r="C41" s="38"/>
      <c r="E41" s="50">
        <f t="shared" ref="E41:AM41" si="21">SUBTOTAL(9,E31:E40)</f>
        <v>0</v>
      </c>
      <c r="F41" s="50">
        <f t="shared" si="21"/>
        <v>116642.56499999999</v>
      </c>
      <c r="G41" s="50">
        <f t="shared" si="21"/>
        <v>0</v>
      </c>
      <c r="H41" s="50">
        <f t="shared" si="21"/>
        <v>0</v>
      </c>
      <c r="I41" s="50">
        <f t="shared" si="21"/>
        <v>0</v>
      </c>
      <c r="J41" s="50">
        <f t="shared" si="21"/>
        <v>0</v>
      </c>
      <c r="K41" s="50">
        <f t="shared" si="21"/>
        <v>0</v>
      </c>
      <c r="L41" s="50">
        <f t="shared" si="21"/>
        <v>0</v>
      </c>
      <c r="M41" s="50">
        <f t="shared" si="21"/>
        <v>0</v>
      </c>
      <c r="N41" s="50">
        <f t="shared" si="21"/>
        <v>195477.33</v>
      </c>
      <c r="O41" s="50">
        <f t="shared" si="21"/>
        <v>0</v>
      </c>
      <c r="P41" s="50">
        <f t="shared" si="21"/>
        <v>0</v>
      </c>
      <c r="Q41" s="50">
        <f t="shared" si="21"/>
        <v>0</v>
      </c>
      <c r="R41" s="50">
        <f t="shared" si="21"/>
        <v>0</v>
      </c>
      <c r="S41" s="50">
        <f t="shared" si="21"/>
        <v>0</v>
      </c>
      <c r="T41" s="50">
        <f t="shared" si="21"/>
        <v>0</v>
      </c>
      <c r="U41" s="50">
        <f t="shared" si="21"/>
        <v>0</v>
      </c>
      <c r="V41" s="50">
        <f t="shared" si="21"/>
        <v>0</v>
      </c>
      <c r="W41" s="50">
        <f t="shared" ref="W41" si="22">SUBTOTAL(9,W31:W40)</f>
        <v>0</v>
      </c>
      <c r="X41" s="50">
        <f t="shared" si="21"/>
        <v>0</v>
      </c>
      <c r="Y41" s="50">
        <f t="shared" si="21"/>
        <v>0</v>
      </c>
      <c r="Z41" s="50">
        <f t="shared" si="21"/>
        <v>0</v>
      </c>
      <c r="AA41" s="50">
        <f t="shared" si="21"/>
        <v>0</v>
      </c>
      <c r="AB41" s="50">
        <f t="shared" si="21"/>
        <v>0</v>
      </c>
      <c r="AC41" s="50">
        <f t="shared" si="21"/>
        <v>0</v>
      </c>
      <c r="AD41" s="50">
        <f t="shared" si="21"/>
        <v>0</v>
      </c>
      <c r="AE41" s="50">
        <f t="shared" si="21"/>
        <v>0</v>
      </c>
      <c r="AF41" s="50">
        <f t="shared" si="21"/>
        <v>0</v>
      </c>
      <c r="AG41" s="50">
        <f t="shared" si="21"/>
        <v>0</v>
      </c>
      <c r="AH41" s="50">
        <f t="shared" si="21"/>
        <v>0</v>
      </c>
      <c r="AI41" s="50">
        <f t="shared" si="21"/>
        <v>0</v>
      </c>
      <c r="AJ41" s="50">
        <f t="shared" si="21"/>
        <v>0</v>
      </c>
      <c r="AK41" s="50">
        <f t="shared" si="21"/>
        <v>0</v>
      </c>
      <c r="AL41" s="50">
        <f t="shared" si="21"/>
        <v>0</v>
      </c>
      <c r="AM41" s="50">
        <f t="shared" si="21"/>
        <v>0</v>
      </c>
      <c r="AN41" s="41"/>
      <c r="AO41" s="61">
        <f>SUBTOTAL(9,AO31:AO40)</f>
        <v>312119.89500000002</v>
      </c>
      <c r="AP41" s="41"/>
      <c r="AQ41" s="260">
        <f>AO41-'FY21'!S41</f>
        <v>0</v>
      </c>
    </row>
    <row r="42" spans="3:4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41"/>
      <c r="AO42" s="59"/>
      <c r="AP42" s="41"/>
      <c r="AQ42" s="260">
        <f>AO42-'FY21'!S42</f>
        <v>0</v>
      </c>
    </row>
    <row r="43" spans="3:43" s="37" customFormat="1" ht="12" x14ac:dyDescent="0.2">
      <c r="C43" s="200">
        <v>6211</v>
      </c>
      <c r="D43" s="37" t="s">
        <v>198</v>
      </c>
      <c r="E43" s="39">
        <v>0</v>
      </c>
      <c r="F43" s="371">
        <f>'FY21'!S43</f>
        <v>888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41"/>
      <c r="AO43" s="59">
        <f t="shared" ref="AO43:AO61" si="23">SUM(E43:AN43)</f>
        <v>888</v>
      </c>
      <c r="AP43" s="41"/>
      <c r="AQ43" s="260">
        <f>AO43-'FY21'!S43</f>
        <v>0</v>
      </c>
    </row>
    <row r="44" spans="3:43" s="37" customFormat="1" ht="12" x14ac:dyDescent="0.2">
      <c r="C44" s="200">
        <v>6214</v>
      </c>
      <c r="D44" s="37" t="s">
        <v>199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71">
        <f>'FY21'!S44</f>
        <v>444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41"/>
      <c r="AO44" s="59">
        <f t="shared" si="23"/>
        <v>444</v>
      </c>
      <c r="AP44" s="41"/>
      <c r="AQ44" s="260">
        <f>AO44-'FY21'!S44</f>
        <v>0</v>
      </c>
    </row>
    <row r="45" spans="3:43" s="37" customFormat="1" ht="12" x14ac:dyDescent="0.2">
      <c r="C45" s="200">
        <v>6217</v>
      </c>
      <c r="D45" s="37" t="s">
        <v>222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71">
        <f>'FY21'!S45</f>
        <v>444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41"/>
      <c r="AO45" s="59">
        <f t="shared" si="23"/>
        <v>444</v>
      </c>
      <c r="AP45" s="41"/>
      <c r="AQ45" s="260">
        <f>AO45-'FY21'!S45</f>
        <v>0</v>
      </c>
    </row>
    <row r="46" spans="3:43" s="37" customFormat="1" ht="12" x14ac:dyDescent="0.2">
      <c r="C46" s="200">
        <v>6227</v>
      </c>
      <c r="D46" s="37" t="s">
        <v>221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71">
        <f>'FY21'!S46</f>
        <v>2450.2400000000002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41"/>
      <c r="AO46" s="59">
        <f t="shared" si="23"/>
        <v>2450.2400000000002</v>
      </c>
      <c r="AP46" s="41"/>
      <c r="AQ46" s="260">
        <f>AO46-'FY21'!S46</f>
        <v>0</v>
      </c>
    </row>
    <row r="47" spans="3:43" s="37" customFormat="1" ht="12" x14ac:dyDescent="0.2">
      <c r="C47" s="200">
        <v>6231</v>
      </c>
      <c r="D47" s="37" t="s">
        <v>205</v>
      </c>
      <c r="E47" s="39">
        <v>0</v>
      </c>
      <c r="F47" s="371">
        <f>'FY21'!S47</f>
        <v>16689.991162499999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41"/>
      <c r="AO47" s="59">
        <f t="shared" si="23"/>
        <v>16689.991162499999</v>
      </c>
      <c r="AP47" s="41"/>
      <c r="AQ47" s="260">
        <f>AO47-'FY21'!S47</f>
        <v>0</v>
      </c>
    </row>
    <row r="48" spans="3:43" s="37" customFormat="1" ht="12" x14ac:dyDescent="0.2">
      <c r="C48" s="200">
        <v>6234</v>
      </c>
      <c r="D48" s="37" t="s">
        <v>206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71">
        <f>'FY21'!S48</f>
        <v>28776.515625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41"/>
      <c r="AO48" s="59">
        <f t="shared" si="23"/>
        <v>28776.515625</v>
      </c>
      <c r="AP48" s="41"/>
      <c r="AQ48" s="260">
        <f>AO48-'FY21'!S48</f>
        <v>0</v>
      </c>
    </row>
    <row r="49" spans="3:43" s="37" customFormat="1" ht="12" x14ac:dyDescent="0.2">
      <c r="C49" s="200">
        <v>6237</v>
      </c>
      <c r="D49" s="37" t="s">
        <v>223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71">
        <f>'FY21'!S49</f>
        <v>7027.364700000001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41"/>
      <c r="AO49" s="59">
        <f t="shared" si="23"/>
        <v>7027.364700000001</v>
      </c>
      <c r="AP49" s="41"/>
      <c r="AQ49" s="260">
        <f>AO49-'FY21'!S49</f>
        <v>0</v>
      </c>
    </row>
    <row r="50" spans="3:43" s="37" customFormat="1" ht="12" x14ac:dyDescent="0.2">
      <c r="C50" s="200">
        <v>6241</v>
      </c>
      <c r="D50" s="37" t="s">
        <v>196</v>
      </c>
      <c r="E50" s="39">
        <v>0</v>
      </c>
      <c r="F50" s="371">
        <f>'FY21'!S50</f>
        <v>1691.3171924999999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41"/>
      <c r="AO50" s="59">
        <f t="shared" si="23"/>
        <v>1691.3171924999999</v>
      </c>
      <c r="AP50" s="41"/>
      <c r="AQ50" s="260">
        <f>AO50-'FY21'!S50</f>
        <v>0</v>
      </c>
    </row>
    <row r="51" spans="3:43" s="37" customFormat="1" ht="12" x14ac:dyDescent="0.2">
      <c r="C51" s="200">
        <v>6244</v>
      </c>
      <c r="D51" s="37" t="s">
        <v>197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71">
        <f>'FY21'!S51</f>
        <v>1541.005625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41"/>
      <c r="AO51" s="59">
        <f t="shared" si="23"/>
        <v>1541.005625</v>
      </c>
      <c r="AP51" s="41"/>
      <c r="AQ51" s="260">
        <f>AO51-'FY21'!S51</f>
        <v>0</v>
      </c>
    </row>
    <row r="52" spans="3:43" s="37" customFormat="1" ht="12" x14ac:dyDescent="0.2">
      <c r="C52" s="200">
        <v>6247</v>
      </c>
      <c r="D52" s="37" t="s">
        <v>224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71">
        <f>'FY21'!S52</f>
        <v>1293.4156600000003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41"/>
      <c r="AO52" s="59">
        <f t="shared" si="23"/>
        <v>1293.4156600000003</v>
      </c>
      <c r="AP52" s="41"/>
      <c r="AQ52" s="260">
        <f>AO52-'FY21'!S52</f>
        <v>0</v>
      </c>
    </row>
    <row r="53" spans="3:43" s="37" customFormat="1" ht="12" x14ac:dyDescent="0.2">
      <c r="C53" s="200">
        <v>6261</v>
      </c>
      <c r="D53" s="37" t="s">
        <v>207</v>
      </c>
      <c r="E53" s="39">
        <v>0</v>
      </c>
      <c r="F53" s="371">
        <f>'FY21'!S53</f>
        <v>936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41"/>
      <c r="AO53" s="59">
        <f t="shared" si="23"/>
        <v>936</v>
      </c>
      <c r="AP53" s="41"/>
      <c r="AQ53" s="260">
        <f>AO53-'FY21'!S53</f>
        <v>0</v>
      </c>
    </row>
    <row r="54" spans="3:43" s="37" customFormat="1" ht="12" x14ac:dyDescent="0.2">
      <c r="C54" s="200">
        <v>6264</v>
      </c>
      <c r="D54" s="37" t="s">
        <v>208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71">
        <f>'FY21'!S54</f>
        <v>468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41"/>
      <c r="AO54" s="59">
        <f t="shared" si="23"/>
        <v>468</v>
      </c>
      <c r="AP54" s="41"/>
      <c r="AQ54" s="260">
        <f>AO54-'FY21'!S54</f>
        <v>0</v>
      </c>
    </row>
    <row r="55" spans="3:43" s="37" customFormat="1" ht="12" x14ac:dyDescent="0.2">
      <c r="C55" s="200">
        <v>6267</v>
      </c>
      <c r="D55" s="37" t="s">
        <v>225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71">
        <f>'FY21'!S55</f>
        <v>1060.8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41"/>
      <c r="AO55" s="59">
        <f t="shared" si="23"/>
        <v>1060.8</v>
      </c>
      <c r="AP55" s="41"/>
      <c r="AQ55" s="260">
        <f>AO55-'FY21'!S55</f>
        <v>0</v>
      </c>
    </row>
    <row r="56" spans="3:43" s="37" customFormat="1" ht="12" x14ac:dyDescent="0.2">
      <c r="C56" s="200">
        <v>6271</v>
      </c>
      <c r="D56" s="37" t="s">
        <v>209</v>
      </c>
      <c r="E56" s="39">
        <v>0</v>
      </c>
      <c r="F56" s="371">
        <f>'FY21'!S56</f>
        <v>758.17667249999988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41"/>
      <c r="AO56" s="59">
        <f t="shared" si="23"/>
        <v>758.17667249999988</v>
      </c>
      <c r="AP56" s="41"/>
      <c r="AQ56" s="260">
        <f>AO56-'FY21'!S56</f>
        <v>0</v>
      </c>
    </row>
    <row r="57" spans="3:43" s="37" customFormat="1" ht="12" x14ac:dyDescent="0.2">
      <c r="C57" s="200">
        <v>6274</v>
      </c>
      <c r="D57" s="37" t="s">
        <v>210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71">
        <f>'FY21'!S57</f>
        <v>690.79562499999986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41"/>
      <c r="AO57" s="59">
        <f t="shared" si="23"/>
        <v>690.79562499999986</v>
      </c>
      <c r="AP57" s="41"/>
      <c r="AQ57" s="260">
        <f>AO57-'FY21'!S57</f>
        <v>0</v>
      </c>
    </row>
    <row r="58" spans="3:43" s="37" customFormat="1" ht="12" x14ac:dyDescent="0.2">
      <c r="C58" s="200">
        <v>6277</v>
      </c>
      <c r="D58" s="37" t="s">
        <v>226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71">
        <f>'FY21'!S58</f>
        <v>579.80701999999985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41"/>
      <c r="AO58" s="59">
        <f t="shared" si="23"/>
        <v>579.80701999999985</v>
      </c>
      <c r="AP58" s="41"/>
      <c r="AQ58" s="260">
        <f>AO58-'FY21'!S58</f>
        <v>0</v>
      </c>
    </row>
    <row r="59" spans="3:43" s="37" customFormat="1" ht="12" x14ac:dyDescent="0.2">
      <c r="C59" s="200">
        <v>6281</v>
      </c>
      <c r="D59" s="37" t="s">
        <v>193</v>
      </c>
      <c r="E59" s="39">
        <v>0</v>
      </c>
      <c r="F59" s="371">
        <f>'FY21'!S59</f>
        <v>9720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41"/>
      <c r="AO59" s="59">
        <f t="shared" si="23"/>
        <v>9720</v>
      </c>
      <c r="AP59" s="41"/>
      <c r="AQ59" s="260">
        <f>AO59-'FY21'!S59</f>
        <v>0</v>
      </c>
    </row>
    <row r="60" spans="3:43" s="37" customFormat="1" ht="12" x14ac:dyDescent="0.2">
      <c r="C60" s="200">
        <v>6284</v>
      </c>
      <c r="D60" s="37" t="s">
        <v>194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71">
        <f>'FY21'!S60</f>
        <v>4860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41"/>
      <c r="AO60" s="59">
        <f t="shared" si="23"/>
        <v>4860</v>
      </c>
      <c r="AP60" s="41"/>
      <c r="AQ60" s="260">
        <f>AO60-'FY21'!S60</f>
        <v>0</v>
      </c>
    </row>
    <row r="61" spans="3:43" s="37" customFormat="1" ht="12" x14ac:dyDescent="0.2">
      <c r="C61" s="200">
        <v>6287</v>
      </c>
      <c r="D61" s="37" t="s">
        <v>227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71">
        <f>'FY21'!S61</f>
        <v>4860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41"/>
      <c r="AO61" s="59">
        <f t="shared" si="23"/>
        <v>4860</v>
      </c>
      <c r="AP61" s="41"/>
      <c r="AQ61" s="260">
        <f>AO61-'FY21'!S61</f>
        <v>0</v>
      </c>
    </row>
    <row r="62" spans="3:43" s="37" customFormat="1" ht="12" x14ac:dyDescent="0.2">
      <c r="C62" s="38"/>
      <c r="E62" s="50">
        <f t="shared" ref="E62:AM62" si="24">SUBTOTAL(9,E43:E61)</f>
        <v>0</v>
      </c>
      <c r="F62" s="50">
        <f t="shared" si="24"/>
        <v>30683.485027499999</v>
      </c>
      <c r="G62" s="50">
        <f t="shared" si="24"/>
        <v>0</v>
      </c>
      <c r="H62" s="50">
        <f t="shared" si="24"/>
        <v>0</v>
      </c>
      <c r="I62" s="50">
        <f t="shared" si="24"/>
        <v>0</v>
      </c>
      <c r="J62" s="50">
        <f t="shared" si="24"/>
        <v>0</v>
      </c>
      <c r="K62" s="50">
        <f t="shared" si="24"/>
        <v>0</v>
      </c>
      <c r="L62" s="50">
        <f t="shared" si="24"/>
        <v>0</v>
      </c>
      <c r="M62" s="50">
        <f t="shared" si="24"/>
        <v>0</v>
      </c>
      <c r="N62" s="50">
        <f t="shared" si="24"/>
        <v>54495.944255000002</v>
      </c>
      <c r="O62" s="50">
        <f t="shared" si="24"/>
        <v>0</v>
      </c>
      <c r="P62" s="50">
        <f t="shared" si="24"/>
        <v>0</v>
      </c>
      <c r="Q62" s="50">
        <f t="shared" si="24"/>
        <v>0</v>
      </c>
      <c r="R62" s="50">
        <f t="shared" si="24"/>
        <v>0</v>
      </c>
      <c r="S62" s="50">
        <f t="shared" si="24"/>
        <v>0</v>
      </c>
      <c r="T62" s="50">
        <f t="shared" si="24"/>
        <v>0</v>
      </c>
      <c r="U62" s="50">
        <f t="shared" si="24"/>
        <v>0</v>
      </c>
      <c r="V62" s="50">
        <f t="shared" si="24"/>
        <v>0</v>
      </c>
      <c r="W62" s="50">
        <f t="shared" ref="W62" si="25">SUBTOTAL(9,W43:W61)</f>
        <v>0</v>
      </c>
      <c r="X62" s="50">
        <f t="shared" si="24"/>
        <v>0</v>
      </c>
      <c r="Y62" s="50">
        <f t="shared" si="24"/>
        <v>0</v>
      </c>
      <c r="Z62" s="50">
        <f t="shared" si="24"/>
        <v>0</v>
      </c>
      <c r="AA62" s="50">
        <f t="shared" si="24"/>
        <v>0</v>
      </c>
      <c r="AB62" s="50">
        <f t="shared" si="24"/>
        <v>0</v>
      </c>
      <c r="AC62" s="50">
        <f t="shared" si="24"/>
        <v>0</v>
      </c>
      <c r="AD62" s="50">
        <f t="shared" si="24"/>
        <v>0</v>
      </c>
      <c r="AE62" s="50">
        <f t="shared" si="24"/>
        <v>0</v>
      </c>
      <c r="AF62" s="50">
        <f t="shared" si="24"/>
        <v>0</v>
      </c>
      <c r="AG62" s="50">
        <f t="shared" si="24"/>
        <v>0</v>
      </c>
      <c r="AH62" s="50">
        <f t="shared" si="24"/>
        <v>0</v>
      </c>
      <c r="AI62" s="50">
        <f t="shared" si="24"/>
        <v>0</v>
      </c>
      <c r="AJ62" s="50">
        <f t="shared" si="24"/>
        <v>0</v>
      </c>
      <c r="AK62" s="50">
        <f t="shared" si="24"/>
        <v>0</v>
      </c>
      <c r="AL62" s="50">
        <f t="shared" si="24"/>
        <v>0</v>
      </c>
      <c r="AM62" s="50">
        <f t="shared" si="24"/>
        <v>0</v>
      </c>
      <c r="AN62" s="41"/>
      <c r="AO62" s="61">
        <f>SUBTOTAL(9,AO43:AO61)</f>
        <v>85179.429282499987</v>
      </c>
      <c r="AP62" s="41"/>
      <c r="AQ62" s="260">
        <f>AO62-'FY21'!S62</f>
        <v>0</v>
      </c>
    </row>
    <row r="63" spans="3:4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41"/>
      <c r="AO63" s="59"/>
      <c r="AP63" s="41"/>
      <c r="AQ63" s="260">
        <f>AO63-'FY21'!S63</f>
        <v>0</v>
      </c>
    </row>
    <row r="64" spans="3:43" s="37" customFormat="1" ht="12" x14ac:dyDescent="0.2">
      <c r="C64" s="200">
        <v>6300</v>
      </c>
      <c r="D64" s="37" t="s">
        <v>9</v>
      </c>
      <c r="E64" s="39">
        <f>SUMIF('Exp Details'!$D$8:$D$11,'Function-Grant'!E$4,'Exp Details'!$H$8:$H$11)</f>
        <v>0</v>
      </c>
      <c r="F64" s="371">
        <f>SUMIF('Exp Details'!$D$8:$D$11,'Function-Grant'!F$4,'Exp Details'!$H$8:$H$11)</f>
        <v>810</v>
      </c>
      <c r="G64" s="39">
        <f>SUMIF('Exp Details'!$D$8:$D$11,'Function-Grant'!G$4,'Exp Details'!$H$8:$H$11)</f>
        <v>0</v>
      </c>
      <c r="H64" s="39">
        <f>SUMIF('Exp Details'!$D$8:$D$11,'Function-Grant'!H$4,'Exp Details'!$H$8:$H$11)</f>
        <v>0</v>
      </c>
      <c r="I64" s="39">
        <f>SUMIF('Exp Details'!$D$8:$D$11,'Function-Grant'!I$4,'Exp Details'!$H$8:$H$11)</f>
        <v>0</v>
      </c>
      <c r="J64" s="39">
        <f>SUMIF('Exp Details'!$D$8:$D$11,'Function-Grant'!J$4,'Exp Details'!$H$8:$H$11)</f>
        <v>0</v>
      </c>
      <c r="K64" s="39">
        <f>SUMIF('Exp Details'!$D$8:$D$11,'Function-Grant'!K$4,'Exp Details'!$H$8:$H$11)</f>
        <v>0</v>
      </c>
      <c r="L64" s="39">
        <f>SUMIF('Exp Details'!$D$8:$D$11,'Function-Grant'!L$4,'Exp Details'!$H$8:$H$11)</f>
        <v>0</v>
      </c>
      <c r="M64" s="39">
        <f>SUMIF('Exp Details'!$D$8:$D$11,'Function-Grant'!M$4,'Exp Details'!$H$8:$H$11)</f>
        <v>0</v>
      </c>
      <c r="N64" s="39">
        <f>SUMIF('Exp Details'!$D$8:$D$11,'Function-Grant'!N$4,'Exp Details'!$H$8:$H$11)</f>
        <v>0</v>
      </c>
      <c r="O64" s="371">
        <f>SUMIF('Exp Details'!$D$8:$D$11,'Function-Grant'!O$4,'Exp Details'!$H$8:$H$11)</f>
        <v>1500</v>
      </c>
      <c r="P64" s="39">
        <f>SUMIF('Exp Details'!$D$8:$D$11,'Function-Grant'!P$4,'Exp Details'!$H$8:$H$11)</f>
        <v>0</v>
      </c>
      <c r="Q64" s="39">
        <f>SUMIF('Exp Details'!$D$8:$D$11,'Function-Grant'!Q$4,'Exp Details'!$H$8:$H$11)</f>
        <v>0</v>
      </c>
      <c r="R64" s="39">
        <f>SUMIF('Exp Details'!$D$8:$D$11,'Function-Grant'!R$4,'Exp Details'!$H$8:$H$11)</f>
        <v>0</v>
      </c>
      <c r="S64" s="39">
        <f>SUMIF('Exp Details'!$D$8:$D$11,'Function-Grant'!S$4,'Exp Details'!$H$8:$H$11)</f>
        <v>0</v>
      </c>
      <c r="T64" s="39">
        <f>SUMIF('Exp Details'!$D$8:$D$11,'Function-Grant'!T$4,'Exp Details'!$H$8:$H$11)</f>
        <v>0</v>
      </c>
      <c r="U64" s="39">
        <f>SUMIF('Exp Details'!$D$8:$D$11,'Function-Grant'!U$4,'Exp Details'!$H$8:$H$11)</f>
        <v>0</v>
      </c>
      <c r="V64" s="39">
        <f>SUMIF('Exp Details'!$D$8:$D$11,'Function-Grant'!V$4,'Exp Details'!$H$8:$H$11)</f>
        <v>0</v>
      </c>
      <c r="W64" s="39">
        <f>SUMIF('Exp Details'!$D$8:$D$11,'Function-Grant'!W$4,'Exp Details'!$H$8:$H$11)</f>
        <v>0</v>
      </c>
      <c r="X64" s="39">
        <f>SUMIF('Exp Details'!$D$8:$D$11,'Function-Grant'!X$4,'Exp Details'!$H$8:$H$11)</f>
        <v>0</v>
      </c>
      <c r="Y64" s="39">
        <f>SUMIF('Exp Details'!$D$8:$D$11,'Function-Grant'!Y$4,'Exp Details'!$H$8:$H$11)</f>
        <v>0</v>
      </c>
      <c r="Z64" s="39">
        <f>SUMIF('Exp Details'!$D$8:$D$11,'Function-Grant'!Z$4,'Exp Details'!$H$8:$H$11)</f>
        <v>0</v>
      </c>
      <c r="AA64" s="39">
        <f>SUMIF('Exp Details'!$D$8:$D$11,'Function-Grant'!AA$4,'Exp Details'!$H$8:$H$11)</f>
        <v>0</v>
      </c>
      <c r="AB64" s="39">
        <f>SUMIF('Exp Details'!$D$8:$D$11,'Function-Grant'!AB$4,'Exp Details'!$H$8:$H$11)</f>
        <v>0</v>
      </c>
      <c r="AC64" s="39">
        <f>SUMIF('Exp Details'!$D$8:$D$11,'Function-Grant'!AC$4,'Exp Details'!$H$8:$H$11)</f>
        <v>0</v>
      </c>
      <c r="AD64" s="39">
        <f>SUMIF('Exp Details'!$D$8:$D$11,'Function-Grant'!AD$4,'Exp Details'!$H$8:$H$11)</f>
        <v>0</v>
      </c>
      <c r="AE64" s="39">
        <f>SUMIF('Exp Details'!$D$8:$D$11,'Function-Grant'!AE$4,'Exp Details'!$H$8:$H$11)</f>
        <v>0</v>
      </c>
      <c r="AF64" s="39">
        <f>SUMIF('Exp Details'!$D$8:$D$11,'Function-Grant'!AF$4,'Exp Details'!$H$8:$H$11)</f>
        <v>0</v>
      </c>
      <c r="AG64" s="39">
        <f>SUMIF('Exp Details'!$D$8:$D$11,'Function-Grant'!AG$4,'Exp Details'!$H$8:$H$11)</f>
        <v>0</v>
      </c>
      <c r="AH64" s="39">
        <f>SUMIF('Exp Details'!$D$8:$D$11,'Function-Grant'!AH$4,'Exp Details'!$H$8:$H$11)</f>
        <v>0</v>
      </c>
      <c r="AI64" s="39">
        <f>SUMIF('Exp Details'!$D$8:$D$11,'Function-Grant'!AI$4,'Exp Details'!$H$8:$H$11)</f>
        <v>0</v>
      </c>
      <c r="AJ64" s="39">
        <f>SUMIF('Exp Details'!$D$8:$D$11,'Function-Grant'!AJ$4,'Exp Details'!$H$8:$H$11)</f>
        <v>0</v>
      </c>
      <c r="AK64" s="39">
        <f>SUMIF('Exp Details'!$D$8:$D$11,'Function-Grant'!AK$4,'Exp Details'!$H$8:$H$11)</f>
        <v>0</v>
      </c>
      <c r="AL64" s="39">
        <f>SUMIF('Exp Details'!$D$8:$D$11,'Function-Grant'!AL$4,'Exp Details'!$H$8:$H$11)</f>
        <v>0</v>
      </c>
      <c r="AM64" s="39">
        <f>SUMIF('Exp Details'!$D$8:$D$11,'Function-Grant'!AM$4,'Exp Details'!$H$8:$H$11)</f>
        <v>0</v>
      </c>
      <c r="AN64" s="41"/>
      <c r="AO64" s="59">
        <f t="shared" ref="AO64:AO73" si="26">SUM(E64:AN64)</f>
        <v>2310</v>
      </c>
      <c r="AP64" s="41"/>
      <c r="AQ64" s="260">
        <f>AO64-'FY21'!S64</f>
        <v>0</v>
      </c>
    </row>
    <row r="65" spans="3:43" s="37" customFormat="1" ht="12" x14ac:dyDescent="0.2">
      <c r="C65" s="200">
        <v>6320</v>
      </c>
      <c r="D65" s="37" t="s">
        <v>10</v>
      </c>
      <c r="E65" s="39">
        <f>SUMIF('Exp Details'!$D$15:$D$18,'Function-Grant'!E$4,'Exp Details'!$H$15:$H$18)</f>
        <v>0</v>
      </c>
      <c r="F65" s="39">
        <f>SUMIF('Exp Details'!$D$15:$D$18,'Function-Grant'!F$4,'Exp Details'!$H$15:$H$18)</f>
        <v>0</v>
      </c>
      <c r="G65" s="39">
        <f>SUMIF('Exp Details'!$D$15:$D$18,'Function-Grant'!G$4,'Exp Details'!$H$15:$H$18)</f>
        <v>0</v>
      </c>
      <c r="H65" s="39">
        <f>SUMIF('Exp Details'!$D$15:$D$18,'Function-Grant'!H$4,'Exp Details'!$H$15:$H$18)</f>
        <v>0</v>
      </c>
      <c r="I65" s="39">
        <f>SUMIF('Exp Details'!$D$15:$D$18,'Function-Grant'!I$4,'Exp Details'!$H$15:$H$18)</f>
        <v>0</v>
      </c>
      <c r="J65" s="39">
        <f>SUMIF('Exp Details'!$D$15:$D$18,'Function-Grant'!J$4,'Exp Details'!$H$15:$H$18)</f>
        <v>0</v>
      </c>
      <c r="K65" s="39">
        <f>SUMIF('Exp Details'!$D$15:$D$18,'Function-Grant'!K$4,'Exp Details'!$H$15:$H$18)</f>
        <v>0</v>
      </c>
      <c r="L65" s="39">
        <f>SUMIF('Exp Details'!$D$15:$D$18,'Function-Grant'!L$4,'Exp Details'!$H$15:$H$18)</f>
        <v>0</v>
      </c>
      <c r="M65" s="39">
        <f>SUMIF('Exp Details'!$D$15:$D$18,'Function-Grant'!M$4,'Exp Details'!$H$15:$H$18)</f>
        <v>0</v>
      </c>
      <c r="N65" s="371">
        <f>SUMIF('Exp Details'!$D$15:$D$18,'Function-Grant'!N$4,'Exp Details'!$H$15:$H$18)</f>
        <v>2500</v>
      </c>
      <c r="O65" s="39">
        <f>SUMIF('Exp Details'!$D$15:$D$18,'Function-Grant'!O$4,'Exp Details'!$H$15:$H$18)</f>
        <v>0</v>
      </c>
      <c r="P65" s="39">
        <f>SUMIF('Exp Details'!$D$15:$D$18,'Function-Grant'!P$4,'Exp Details'!$H$15:$H$18)</f>
        <v>0</v>
      </c>
      <c r="Q65" s="39">
        <f>SUMIF('Exp Details'!$D$15:$D$18,'Function-Grant'!Q$4,'Exp Details'!$H$15:$H$18)</f>
        <v>0</v>
      </c>
      <c r="R65" s="39">
        <f>SUMIF('Exp Details'!$D$15:$D$18,'Function-Grant'!R$4,'Exp Details'!$H$15:$H$18)</f>
        <v>0</v>
      </c>
      <c r="S65" s="39">
        <f>SUMIF('Exp Details'!$D$15:$D$18,'Function-Grant'!S$4,'Exp Details'!$H$15:$H$18)</f>
        <v>0</v>
      </c>
      <c r="T65" s="39">
        <f>SUMIF('Exp Details'!$D$15:$D$18,'Function-Grant'!T$4,'Exp Details'!$H$15:$H$18)</f>
        <v>0</v>
      </c>
      <c r="U65" s="39">
        <f>SUMIF('Exp Details'!$D$15:$D$18,'Function-Grant'!U$4,'Exp Details'!$H$15:$H$18)</f>
        <v>0</v>
      </c>
      <c r="V65" s="39">
        <f>SUMIF('Exp Details'!$D$15:$D$18,'Function-Grant'!V$4,'Exp Details'!$H$15:$H$18)</f>
        <v>0</v>
      </c>
      <c r="W65" s="39">
        <f>SUMIF('Exp Details'!$D$15:$D$18,'Function-Grant'!W$4,'Exp Details'!$H$15:$H$18)</f>
        <v>0</v>
      </c>
      <c r="X65" s="39">
        <f>SUMIF('Exp Details'!$D$15:$D$18,'Function-Grant'!X$4,'Exp Details'!$H$15:$H$18)</f>
        <v>0</v>
      </c>
      <c r="Y65" s="39">
        <f>SUMIF('Exp Details'!$D$15:$D$18,'Function-Grant'!Y$4,'Exp Details'!$H$15:$H$18)</f>
        <v>0</v>
      </c>
      <c r="Z65" s="39">
        <f>SUMIF('Exp Details'!$D$15:$D$18,'Function-Grant'!Z$4,'Exp Details'!$H$15:$H$18)</f>
        <v>0</v>
      </c>
      <c r="AA65" s="39">
        <f>SUMIF('Exp Details'!$D$15:$D$18,'Function-Grant'!AA$4,'Exp Details'!$H$15:$H$18)</f>
        <v>0</v>
      </c>
      <c r="AB65" s="39">
        <f>SUMIF('Exp Details'!$D$15:$D$18,'Function-Grant'!AB$4,'Exp Details'!$H$15:$H$18)</f>
        <v>0</v>
      </c>
      <c r="AC65" s="39">
        <f>SUMIF('Exp Details'!$D$15:$D$18,'Function-Grant'!AC$4,'Exp Details'!$H$15:$H$18)</f>
        <v>0</v>
      </c>
      <c r="AD65" s="39">
        <f>SUMIF('Exp Details'!$D$15:$D$18,'Function-Grant'!AD$4,'Exp Details'!$H$15:$H$18)</f>
        <v>0</v>
      </c>
      <c r="AE65" s="39">
        <f>SUMIF('Exp Details'!$D$15:$D$18,'Function-Grant'!AE$4,'Exp Details'!$H$15:$H$18)</f>
        <v>0</v>
      </c>
      <c r="AF65" s="39">
        <f>SUMIF('Exp Details'!$D$15:$D$18,'Function-Grant'!AF$4,'Exp Details'!$H$15:$H$18)</f>
        <v>0</v>
      </c>
      <c r="AG65" s="39">
        <f>SUMIF('Exp Details'!$D$15:$D$18,'Function-Grant'!AG$4,'Exp Details'!$H$15:$H$18)</f>
        <v>0</v>
      </c>
      <c r="AH65" s="39">
        <f>SUMIF('Exp Details'!$D$15:$D$18,'Function-Grant'!AH$4,'Exp Details'!$H$15:$H$18)</f>
        <v>0</v>
      </c>
      <c r="AI65" s="39">
        <f>SUMIF('Exp Details'!$D$15:$D$18,'Function-Grant'!AI$4,'Exp Details'!$H$15:$H$18)</f>
        <v>0</v>
      </c>
      <c r="AJ65" s="39">
        <f>SUMIF('Exp Details'!$D$15:$D$18,'Function-Grant'!AJ$4,'Exp Details'!$H$15:$H$18)</f>
        <v>0</v>
      </c>
      <c r="AK65" s="39">
        <f>SUMIF('Exp Details'!$D$15:$D$18,'Function-Grant'!AK$4,'Exp Details'!$H$15:$H$18)</f>
        <v>0</v>
      </c>
      <c r="AL65" s="39">
        <f>SUMIF('Exp Details'!$D$15:$D$18,'Function-Grant'!AL$4,'Exp Details'!$H$15:$H$18)</f>
        <v>0</v>
      </c>
      <c r="AM65" s="39">
        <f>SUMIF('Exp Details'!$D$15:$D$18,'Function-Grant'!AM$4,'Exp Details'!$H$15:$H$18)</f>
        <v>0</v>
      </c>
      <c r="AN65" s="41"/>
      <c r="AO65" s="59">
        <f t="shared" si="26"/>
        <v>2500</v>
      </c>
      <c r="AP65" s="41"/>
      <c r="AQ65" s="260">
        <f>AO65-'FY21'!S65</f>
        <v>0</v>
      </c>
    </row>
    <row r="66" spans="3:43" s="37" customFormat="1" ht="12" x14ac:dyDescent="0.2">
      <c r="C66" s="200">
        <v>6331</v>
      </c>
      <c r="D66" s="37" t="s">
        <v>11</v>
      </c>
      <c r="E66" s="39">
        <f>SUMIF('Exp Details'!$D$22:$D$25,'Function-Grant'!E$4,'Exp Details'!$H$22:$H$25)</f>
        <v>0</v>
      </c>
      <c r="F66" s="371">
        <f>SUMIF('Exp Details'!$D$22:$D$25,'Function-Grant'!F$4,'Exp Details'!$H$22:$H$25)</f>
        <v>1000</v>
      </c>
      <c r="G66" s="39">
        <f>SUMIF('Exp Details'!$D$22:$D$25,'Function-Grant'!G$4,'Exp Details'!$H$22:$H$25)</f>
        <v>0</v>
      </c>
      <c r="H66" s="39">
        <f>SUMIF('Exp Details'!$D$22:$D$25,'Function-Grant'!H$4,'Exp Details'!$H$22:$H$25)</f>
        <v>0</v>
      </c>
      <c r="I66" s="39">
        <f>SUMIF('Exp Details'!$D$22:$D$25,'Function-Grant'!I$4,'Exp Details'!$H$22:$H$25)</f>
        <v>0</v>
      </c>
      <c r="J66" s="39">
        <f>SUMIF('Exp Details'!$D$22:$D$25,'Function-Grant'!J$4,'Exp Details'!$H$22:$H$25)</f>
        <v>0</v>
      </c>
      <c r="K66" s="39">
        <f>SUMIF('Exp Details'!$D$22:$D$25,'Function-Grant'!K$4,'Exp Details'!$H$22:$H$25)</f>
        <v>0</v>
      </c>
      <c r="L66" s="39">
        <f>SUMIF('Exp Details'!$D$22:$D$25,'Function-Grant'!L$4,'Exp Details'!$H$22:$H$25)</f>
        <v>0</v>
      </c>
      <c r="M66" s="39">
        <f>SUMIF('Exp Details'!$D$22:$D$25,'Function-Grant'!M$4,'Exp Details'!$H$22:$H$25)</f>
        <v>0</v>
      </c>
      <c r="N66" s="39">
        <f>SUMIF('Exp Details'!$D$22:$D$25,'Function-Grant'!N$4,'Exp Details'!$H$22:$H$25)</f>
        <v>0</v>
      </c>
      <c r="O66" s="39">
        <f>SUMIF('Exp Details'!$D$22:$D$25,'Function-Grant'!O$4,'Exp Details'!$H$22:$H$25)</f>
        <v>0</v>
      </c>
      <c r="P66" s="39">
        <f>SUMIF('Exp Details'!$D$22:$D$25,'Function-Grant'!P$4,'Exp Details'!$H$22:$H$25)</f>
        <v>0</v>
      </c>
      <c r="Q66" s="39">
        <f>SUMIF('Exp Details'!$D$22:$D$25,'Function-Grant'!Q$4,'Exp Details'!$H$22:$H$25)</f>
        <v>0</v>
      </c>
      <c r="R66" s="39">
        <f>SUMIF('Exp Details'!$D$22:$D$25,'Function-Grant'!R$4,'Exp Details'!$H$22:$H$25)</f>
        <v>0</v>
      </c>
      <c r="S66" s="39">
        <f>SUMIF('Exp Details'!$D$22:$D$25,'Function-Grant'!S$4,'Exp Details'!$H$22:$H$25)</f>
        <v>0</v>
      </c>
      <c r="T66" s="39">
        <f>SUMIF('Exp Details'!$D$22:$D$25,'Function-Grant'!T$4,'Exp Details'!$H$22:$H$25)</f>
        <v>0</v>
      </c>
      <c r="U66" s="39">
        <f>SUMIF('Exp Details'!$D$22:$D$25,'Function-Grant'!U$4,'Exp Details'!$H$22:$H$25)</f>
        <v>0</v>
      </c>
      <c r="V66" s="39">
        <f>SUMIF('Exp Details'!$D$22:$D$25,'Function-Grant'!V$4,'Exp Details'!$H$22:$H$25)</f>
        <v>0</v>
      </c>
      <c r="W66" s="39">
        <f>SUMIF('Exp Details'!$D$22:$D$25,'Function-Grant'!W$4,'Exp Details'!$H$22:$H$25)</f>
        <v>0</v>
      </c>
      <c r="X66" s="39">
        <f>SUMIF('Exp Details'!$D$22:$D$25,'Function-Grant'!X$4,'Exp Details'!$H$22:$H$25)</f>
        <v>0</v>
      </c>
      <c r="Y66" s="39">
        <f>SUMIF('Exp Details'!$D$22:$D$25,'Function-Grant'!Y$4,'Exp Details'!$H$22:$H$25)</f>
        <v>0</v>
      </c>
      <c r="Z66" s="39">
        <f>SUMIF('Exp Details'!$D$22:$D$25,'Function-Grant'!Z$4,'Exp Details'!$H$22:$H$25)</f>
        <v>0</v>
      </c>
      <c r="AA66" s="39">
        <f>SUMIF('Exp Details'!$D$22:$D$25,'Function-Grant'!AA$4,'Exp Details'!$H$22:$H$25)</f>
        <v>0</v>
      </c>
      <c r="AB66" s="39">
        <f>SUMIF('Exp Details'!$D$22:$D$25,'Function-Grant'!AB$4,'Exp Details'!$H$22:$H$25)</f>
        <v>0</v>
      </c>
      <c r="AC66" s="39">
        <f>SUMIF('Exp Details'!$D$22:$D$25,'Function-Grant'!AC$4,'Exp Details'!$H$22:$H$25)</f>
        <v>0</v>
      </c>
      <c r="AD66" s="39">
        <f>SUMIF('Exp Details'!$D$22:$D$25,'Function-Grant'!AD$4,'Exp Details'!$H$22:$H$25)</f>
        <v>0</v>
      </c>
      <c r="AE66" s="39">
        <f>SUMIF('Exp Details'!$D$22:$D$25,'Function-Grant'!AE$4,'Exp Details'!$H$22:$H$25)</f>
        <v>0</v>
      </c>
      <c r="AF66" s="39">
        <f>SUMIF('Exp Details'!$D$22:$D$25,'Function-Grant'!AF$4,'Exp Details'!$H$22:$H$25)</f>
        <v>0</v>
      </c>
      <c r="AG66" s="39">
        <f>SUMIF('Exp Details'!$D$22:$D$25,'Function-Grant'!AG$4,'Exp Details'!$H$22:$H$25)</f>
        <v>0</v>
      </c>
      <c r="AH66" s="39">
        <f>SUMIF('Exp Details'!$D$22:$D$25,'Function-Grant'!AH$4,'Exp Details'!$H$22:$H$25)</f>
        <v>0</v>
      </c>
      <c r="AI66" s="39">
        <f>SUMIF('Exp Details'!$D$22:$D$25,'Function-Grant'!AI$4,'Exp Details'!$H$22:$H$25)</f>
        <v>0</v>
      </c>
      <c r="AJ66" s="39">
        <f>SUMIF('Exp Details'!$D$22:$D$25,'Function-Grant'!AJ$4,'Exp Details'!$H$22:$H$25)</f>
        <v>0</v>
      </c>
      <c r="AK66" s="39">
        <f>SUMIF('Exp Details'!$D$22:$D$25,'Function-Grant'!AK$4,'Exp Details'!$H$22:$H$25)</f>
        <v>0</v>
      </c>
      <c r="AL66" s="39">
        <f>SUMIF('Exp Details'!$D$22:$D$25,'Function-Grant'!AL$4,'Exp Details'!$H$22:$H$25)</f>
        <v>0</v>
      </c>
      <c r="AM66" s="39">
        <f>SUMIF('Exp Details'!$D$22:$D$25,'Function-Grant'!AM$4,'Exp Details'!$H$22:$H$25)</f>
        <v>0</v>
      </c>
      <c r="AN66" s="41"/>
      <c r="AO66" s="59">
        <f t="shared" si="26"/>
        <v>1000</v>
      </c>
      <c r="AP66" s="41"/>
      <c r="AQ66" s="260">
        <f>AO66-'FY21'!S66</f>
        <v>0</v>
      </c>
    </row>
    <row r="67" spans="3:43" s="37" customFormat="1" ht="12" x14ac:dyDescent="0.2">
      <c r="C67" s="200">
        <v>6334</v>
      </c>
      <c r="D67" s="37" t="s">
        <v>12</v>
      </c>
      <c r="E67" s="39">
        <f>SUMIF('Exp Details'!$D$29:$D$32,'Function-Grant'!E$4,'Exp Details'!$H$29:$H$32)</f>
        <v>0</v>
      </c>
      <c r="F67" s="39">
        <f>SUMIF('Exp Details'!$D$29:$D$32,'Function-Grant'!F$4,'Exp Details'!$H$29:$H$32)</f>
        <v>0</v>
      </c>
      <c r="G67" s="39">
        <f>SUMIF('Exp Details'!$D$29:$D$32,'Function-Grant'!G$4,'Exp Details'!$H$29:$H$32)</f>
        <v>0</v>
      </c>
      <c r="H67" s="39">
        <f>SUMIF('Exp Details'!$D$29:$D$32,'Function-Grant'!H$4,'Exp Details'!$H$29:$H$32)</f>
        <v>0</v>
      </c>
      <c r="I67" s="39">
        <f>SUMIF('Exp Details'!$D$29:$D$32,'Function-Grant'!I$4,'Exp Details'!$H$29:$H$32)</f>
        <v>0</v>
      </c>
      <c r="J67" s="39">
        <f>SUMIF('Exp Details'!$D$29:$D$32,'Function-Grant'!J$4,'Exp Details'!$H$29:$H$32)</f>
        <v>0</v>
      </c>
      <c r="K67" s="39">
        <f>SUMIF('Exp Details'!$D$29:$D$32,'Function-Grant'!K$4,'Exp Details'!$H$29:$H$32)</f>
        <v>0</v>
      </c>
      <c r="L67" s="39">
        <f>SUMIF('Exp Details'!$D$29:$D$32,'Function-Grant'!L$4,'Exp Details'!$H$29:$H$32)</f>
        <v>0</v>
      </c>
      <c r="M67" s="39">
        <f>SUMIF('Exp Details'!$D$29:$D$32,'Function-Grant'!M$4,'Exp Details'!$H$29:$H$32)</f>
        <v>0</v>
      </c>
      <c r="N67" s="371">
        <f>SUMIF('Exp Details'!$D$29:$D$32,'Function-Grant'!N$4,'Exp Details'!$H$29:$H$32)</f>
        <v>750</v>
      </c>
      <c r="O67" s="39">
        <f>SUMIF('Exp Details'!$D$29:$D$32,'Function-Grant'!O$4,'Exp Details'!$H$29:$H$32)</f>
        <v>0</v>
      </c>
      <c r="P67" s="39">
        <f>SUMIF('Exp Details'!$D$29:$D$32,'Function-Grant'!P$4,'Exp Details'!$H$29:$H$32)</f>
        <v>0</v>
      </c>
      <c r="Q67" s="39">
        <f>SUMIF('Exp Details'!$D$29:$D$32,'Function-Grant'!Q$4,'Exp Details'!$H$29:$H$32)</f>
        <v>0</v>
      </c>
      <c r="R67" s="39">
        <f>SUMIF('Exp Details'!$D$29:$D$32,'Function-Grant'!R$4,'Exp Details'!$H$29:$H$32)</f>
        <v>0</v>
      </c>
      <c r="S67" s="39">
        <f>SUMIF('Exp Details'!$D$29:$D$32,'Function-Grant'!S$4,'Exp Details'!$H$29:$H$32)</f>
        <v>0</v>
      </c>
      <c r="T67" s="39">
        <f>SUMIF('Exp Details'!$D$29:$D$32,'Function-Grant'!T$4,'Exp Details'!$H$29:$H$32)</f>
        <v>0</v>
      </c>
      <c r="U67" s="39">
        <f>SUMIF('Exp Details'!$D$29:$D$32,'Function-Grant'!U$4,'Exp Details'!$H$29:$H$32)</f>
        <v>0</v>
      </c>
      <c r="V67" s="39">
        <f>SUMIF('Exp Details'!$D$29:$D$32,'Function-Grant'!V$4,'Exp Details'!$H$29:$H$32)</f>
        <v>0</v>
      </c>
      <c r="W67" s="39">
        <f>SUMIF('Exp Details'!$D$29:$D$32,'Function-Grant'!W$4,'Exp Details'!$H$29:$H$32)</f>
        <v>0</v>
      </c>
      <c r="X67" s="39">
        <f>SUMIF('Exp Details'!$D$29:$D$32,'Function-Grant'!X$4,'Exp Details'!$H$29:$H$32)</f>
        <v>0</v>
      </c>
      <c r="Y67" s="39">
        <f>SUMIF('Exp Details'!$D$29:$D$32,'Function-Grant'!Y$4,'Exp Details'!$H$29:$H$32)</f>
        <v>0</v>
      </c>
      <c r="Z67" s="39">
        <f>SUMIF('Exp Details'!$D$29:$D$32,'Function-Grant'!Z$4,'Exp Details'!$H$29:$H$32)</f>
        <v>0</v>
      </c>
      <c r="AA67" s="39">
        <f>SUMIF('Exp Details'!$D$29:$D$32,'Function-Grant'!AA$4,'Exp Details'!$H$29:$H$32)</f>
        <v>0</v>
      </c>
      <c r="AB67" s="39">
        <f>SUMIF('Exp Details'!$D$29:$D$32,'Function-Grant'!AB$4,'Exp Details'!$H$29:$H$32)</f>
        <v>0</v>
      </c>
      <c r="AC67" s="39">
        <f>SUMIF('Exp Details'!$D$29:$D$32,'Function-Grant'!AC$4,'Exp Details'!$H$29:$H$32)</f>
        <v>0</v>
      </c>
      <c r="AD67" s="39">
        <f>SUMIF('Exp Details'!$D$29:$D$32,'Function-Grant'!AD$4,'Exp Details'!$H$29:$H$32)</f>
        <v>0</v>
      </c>
      <c r="AE67" s="39">
        <f>SUMIF('Exp Details'!$D$29:$D$32,'Function-Grant'!AE$4,'Exp Details'!$H$29:$H$32)</f>
        <v>0</v>
      </c>
      <c r="AF67" s="39">
        <f>SUMIF('Exp Details'!$D$29:$D$32,'Function-Grant'!AF$4,'Exp Details'!$H$29:$H$32)</f>
        <v>0</v>
      </c>
      <c r="AG67" s="39">
        <f>SUMIF('Exp Details'!$D$29:$D$32,'Function-Grant'!AG$4,'Exp Details'!$H$29:$H$32)</f>
        <v>0</v>
      </c>
      <c r="AH67" s="39">
        <f>SUMIF('Exp Details'!$D$29:$D$32,'Function-Grant'!AH$4,'Exp Details'!$H$29:$H$32)</f>
        <v>0</v>
      </c>
      <c r="AI67" s="39">
        <f>SUMIF('Exp Details'!$D$29:$D$32,'Function-Grant'!AI$4,'Exp Details'!$H$29:$H$32)</f>
        <v>0</v>
      </c>
      <c r="AJ67" s="39">
        <f>SUMIF('Exp Details'!$D$29:$D$32,'Function-Grant'!AJ$4,'Exp Details'!$H$29:$H$32)</f>
        <v>0</v>
      </c>
      <c r="AK67" s="39">
        <f>SUMIF('Exp Details'!$D$29:$D$32,'Function-Grant'!AK$4,'Exp Details'!$H$29:$H$32)</f>
        <v>0</v>
      </c>
      <c r="AL67" s="39">
        <f>SUMIF('Exp Details'!$D$29:$D$32,'Function-Grant'!AL$4,'Exp Details'!$H$29:$H$32)</f>
        <v>0</v>
      </c>
      <c r="AM67" s="39">
        <f>SUMIF('Exp Details'!$D$29:$D$32,'Function-Grant'!AM$4,'Exp Details'!$H$29:$H$32)</f>
        <v>0</v>
      </c>
      <c r="AN67" s="41"/>
      <c r="AO67" s="59">
        <f t="shared" si="26"/>
        <v>750</v>
      </c>
      <c r="AP67" s="41"/>
      <c r="AQ67" s="260">
        <f>AO67-'FY21'!S67</f>
        <v>0</v>
      </c>
    </row>
    <row r="68" spans="3:43" s="37" customFormat="1" ht="12" x14ac:dyDescent="0.2">
      <c r="C68" s="200">
        <v>6336</v>
      </c>
      <c r="D68" s="37" t="s">
        <v>13</v>
      </c>
      <c r="E68" s="39">
        <f>SUMIF('Exp Details'!$D$36:$D$38,'Function-Grant'!E$4,'Exp Details'!$H$36:$H$38)</f>
        <v>0</v>
      </c>
      <c r="F68" s="39">
        <f>SUMIF('Exp Details'!$D$36:$D$38,'Function-Grant'!F$4,'Exp Details'!$H$36:$H$38)</f>
        <v>0</v>
      </c>
      <c r="G68" s="39">
        <f>SUMIF('Exp Details'!$D$36:$D$38,'Function-Grant'!G$4,'Exp Details'!$H$36:$H$38)</f>
        <v>0</v>
      </c>
      <c r="H68" s="39">
        <f>SUMIF('Exp Details'!$D$36:$D$38,'Function-Grant'!H$4,'Exp Details'!$H$36:$H$38)</f>
        <v>0</v>
      </c>
      <c r="I68" s="39">
        <f>SUMIF('Exp Details'!$D$36:$D$38,'Function-Grant'!I$4,'Exp Details'!$H$36:$H$38)</f>
        <v>0</v>
      </c>
      <c r="J68" s="39">
        <f>SUMIF('Exp Details'!$D$36:$D$38,'Function-Grant'!J$4,'Exp Details'!$H$36:$H$38)</f>
        <v>0</v>
      </c>
      <c r="K68" s="39">
        <f>SUMIF('Exp Details'!$D$36:$D$38,'Function-Grant'!K$4,'Exp Details'!$H$36:$H$38)</f>
        <v>0</v>
      </c>
      <c r="L68" s="39">
        <f>SUMIF('Exp Details'!$D$36:$D$38,'Function-Grant'!L$4,'Exp Details'!$H$36:$H$38)</f>
        <v>0</v>
      </c>
      <c r="M68" s="39">
        <f>SUMIF('Exp Details'!$D$36:$D$38,'Function-Grant'!M$4,'Exp Details'!$H$36:$H$38)</f>
        <v>0</v>
      </c>
      <c r="N68" s="39">
        <f>SUMIF('Exp Details'!$D$36:$D$38,'Function-Grant'!N$4,'Exp Details'!$H$36:$H$38)</f>
        <v>0</v>
      </c>
      <c r="O68" s="39">
        <f>SUMIF('Exp Details'!$D$36:$D$38,'Function-Grant'!O$4,'Exp Details'!$H$36:$H$38)</f>
        <v>0</v>
      </c>
      <c r="P68" s="39">
        <f>SUMIF('Exp Details'!$D$36:$D$38,'Function-Grant'!P$4,'Exp Details'!$H$36:$H$38)</f>
        <v>0</v>
      </c>
      <c r="Q68" s="39">
        <f>SUMIF('Exp Details'!$D$36:$D$38,'Function-Grant'!Q$4,'Exp Details'!$H$36:$H$38)</f>
        <v>0</v>
      </c>
      <c r="R68" s="39">
        <f>SUMIF('Exp Details'!$D$36:$D$38,'Function-Grant'!R$4,'Exp Details'!$H$36:$H$38)</f>
        <v>0</v>
      </c>
      <c r="S68" s="39">
        <f>SUMIF('Exp Details'!$D$36:$D$38,'Function-Grant'!S$4,'Exp Details'!$H$36:$H$38)</f>
        <v>0</v>
      </c>
      <c r="T68" s="39">
        <f>SUMIF('Exp Details'!$D$36:$D$38,'Function-Grant'!T$4,'Exp Details'!$H$36:$H$38)</f>
        <v>0</v>
      </c>
      <c r="U68" s="39">
        <f>SUMIF('Exp Details'!$D$36:$D$38,'Function-Grant'!U$4,'Exp Details'!$H$36:$H$38)</f>
        <v>0</v>
      </c>
      <c r="V68" s="39">
        <f>SUMIF('Exp Details'!$D$36:$D$38,'Function-Grant'!V$4,'Exp Details'!$H$36:$H$38)</f>
        <v>0</v>
      </c>
      <c r="W68" s="39">
        <f>SUMIF('Exp Details'!$D$36:$D$38,'Function-Grant'!W$4,'Exp Details'!$H$36:$H$38)</f>
        <v>0</v>
      </c>
      <c r="X68" s="39">
        <f>SUMIF('Exp Details'!$D$36:$D$38,'Function-Grant'!X$4,'Exp Details'!$H$36:$H$38)</f>
        <v>0</v>
      </c>
      <c r="Y68" s="39">
        <f>SUMIF('Exp Details'!$D$36:$D$38,'Function-Grant'!Y$4,'Exp Details'!$H$36:$H$38)</f>
        <v>0</v>
      </c>
      <c r="Z68" s="39">
        <f>SUMIF('Exp Details'!$D$36:$D$38,'Function-Grant'!Z$4,'Exp Details'!$H$36:$H$38)</f>
        <v>0</v>
      </c>
      <c r="AA68" s="39">
        <f>SUMIF('Exp Details'!$D$36:$D$38,'Function-Grant'!AA$4,'Exp Details'!$H$36:$H$38)</f>
        <v>0</v>
      </c>
      <c r="AB68" s="39">
        <f>SUMIF('Exp Details'!$D$36:$D$38,'Function-Grant'!AB$4,'Exp Details'!$H$36:$H$38)</f>
        <v>0</v>
      </c>
      <c r="AC68" s="39">
        <f>SUMIF('Exp Details'!$D$36:$D$38,'Function-Grant'!AC$4,'Exp Details'!$H$36:$H$38)</f>
        <v>0</v>
      </c>
      <c r="AD68" s="39">
        <f>SUMIF('Exp Details'!$D$36:$D$38,'Function-Grant'!AD$4,'Exp Details'!$H$36:$H$38)</f>
        <v>0</v>
      </c>
      <c r="AE68" s="39">
        <f>SUMIF('Exp Details'!$D$36:$D$38,'Function-Grant'!AE$4,'Exp Details'!$H$36:$H$38)</f>
        <v>0</v>
      </c>
      <c r="AF68" s="39">
        <f>SUMIF('Exp Details'!$D$36:$D$38,'Function-Grant'!AF$4,'Exp Details'!$H$36:$H$38)</f>
        <v>0</v>
      </c>
      <c r="AG68" s="39">
        <f>SUMIF('Exp Details'!$D$36:$D$38,'Function-Grant'!AG$4,'Exp Details'!$H$36:$H$38)</f>
        <v>0</v>
      </c>
      <c r="AH68" s="39">
        <f>SUMIF('Exp Details'!$D$36:$D$38,'Function-Grant'!AH$4,'Exp Details'!$H$36:$H$38)</f>
        <v>0</v>
      </c>
      <c r="AI68" s="39">
        <f>SUMIF('Exp Details'!$D$36:$D$38,'Function-Grant'!AI$4,'Exp Details'!$H$36:$H$38)</f>
        <v>0</v>
      </c>
      <c r="AJ68" s="39">
        <f>SUMIF('Exp Details'!$D$36:$D$38,'Function-Grant'!AJ$4,'Exp Details'!$H$36:$H$38)</f>
        <v>0</v>
      </c>
      <c r="AK68" s="39">
        <f>SUMIF('Exp Details'!$D$36:$D$38,'Function-Grant'!AK$4,'Exp Details'!$H$36:$H$38)</f>
        <v>0</v>
      </c>
      <c r="AL68" s="39">
        <f>SUMIF('Exp Details'!$D$36:$D$38,'Function-Grant'!AL$4,'Exp Details'!$H$36:$H$38)</f>
        <v>0</v>
      </c>
      <c r="AM68" s="39">
        <f>SUMIF('Exp Details'!$D$36:$D$38,'Function-Grant'!AM$4,'Exp Details'!$H$36:$H$38)</f>
        <v>0</v>
      </c>
      <c r="AN68" s="41"/>
      <c r="AO68" s="59">
        <f t="shared" si="26"/>
        <v>0</v>
      </c>
      <c r="AP68" s="41"/>
      <c r="AQ68" s="260">
        <f>AO68-'FY21'!S68</f>
        <v>0</v>
      </c>
    </row>
    <row r="69" spans="3:43" s="37" customFormat="1" ht="12" x14ac:dyDescent="0.2">
      <c r="C69" s="200">
        <v>6337</v>
      </c>
      <c r="D69" s="37" t="s">
        <v>14</v>
      </c>
      <c r="E69" s="39">
        <f>SUMIF('Exp Details'!$D$42:$D$45,'Function-Grant'!E$4,'Exp Details'!$H$42:$H$45)</f>
        <v>0</v>
      </c>
      <c r="F69" s="39">
        <f>SUMIF('Exp Details'!$D$42:$D$45,'Function-Grant'!F$4,'Exp Details'!$H$42:$H$45)</f>
        <v>0</v>
      </c>
      <c r="G69" s="39">
        <f>SUMIF('Exp Details'!$D$42:$D$45,'Function-Grant'!G$4,'Exp Details'!$H$42:$H$45)</f>
        <v>0</v>
      </c>
      <c r="H69" s="39">
        <f>SUMIF('Exp Details'!$D$42:$D$45,'Function-Grant'!H$4,'Exp Details'!$H$42:$H$45)</f>
        <v>0</v>
      </c>
      <c r="I69" s="39">
        <f>SUMIF('Exp Details'!$D$42:$D$45,'Function-Grant'!I$4,'Exp Details'!$H$42:$H$45)</f>
        <v>0</v>
      </c>
      <c r="J69" s="39">
        <f>SUMIF('Exp Details'!$D$42:$D$45,'Function-Grant'!J$4,'Exp Details'!$H$42:$H$45)</f>
        <v>0</v>
      </c>
      <c r="K69" s="39">
        <f>SUMIF('Exp Details'!$D$42:$D$45,'Function-Grant'!K$4,'Exp Details'!$H$42:$H$45)</f>
        <v>0</v>
      </c>
      <c r="L69" s="39">
        <f>SUMIF('Exp Details'!$D$42:$D$45,'Function-Grant'!L$4,'Exp Details'!$H$42:$H$45)</f>
        <v>0</v>
      </c>
      <c r="M69" s="39">
        <f>SUMIF('Exp Details'!$D$42:$D$45,'Function-Grant'!M$4,'Exp Details'!$H$42:$H$45)</f>
        <v>0</v>
      </c>
      <c r="N69" s="371">
        <f>SUMIF('Exp Details'!$D$42:$D$45,'Function-Grant'!N$4,'Exp Details'!$H$42:$H$45)</f>
        <v>500</v>
      </c>
      <c r="O69" s="39">
        <f>SUMIF('Exp Details'!$D$42:$D$45,'Function-Grant'!O$4,'Exp Details'!$H$42:$H$45)</f>
        <v>0</v>
      </c>
      <c r="P69" s="39">
        <f>SUMIF('Exp Details'!$D$42:$D$45,'Function-Grant'!P$4,'Exp Details'!$H$42:$H$45)</f>
        <v>0</v>
      </c>
      <c r="Q69" s="39">
        <f>SUMIF('Exp Details'!$D$42:$D$45,'Function-Grant'!Q$4,'Exp Details'!$H$42:$H$45)</f>
        <v>0</v>
      </c>
      <c r="R69" s="39">
        <f>SUMIF('Exp Details'!$D$42:$D$45,'Function-Grant'!R$4,'Exp Details'!$H$42:$H$45)</f>
        <v>0</v>
      </c>
      <c r="S69" s="39">
        <f>SUMIF('Exp Details'!$D$42:$D$45,'Function-Grant'!S$4,'Exp Details'!$H$42:$H$45)</f>
        <v>0</v>
      </c>
      <c r="T69" s="39">
        <f>SUMIF('Exp Details'!$D$42:$D$45,'Function-Grant'!T$4,'Exp Details'!$H$42:$H$45)</f>
        <v>0</v>
      </c>
      <c r="U69" s="39">
        <f>SUMIF('Exp Details'!$D$42:$D$45,'Function-Grant'!U$4,'Exp Details'!$H$42:$H$45)</f>
        <v>0</v>
      </c>
      <c r="V69" s="39">
        <f>SUMIF('Exp Details'!$D$42:$D$45,'Function-Grant'!V$4,'Exp Details'!$H$42:$H$45)</f>
        <v>0</v>
      </c>
      <c r="W69" s="39">
        <f>SUMIF('Exp Details'!$D$42:$D$45,'Function-Grant'!W$4,'Exp Details'!$H$42:$H$45)</f>
        <v>0</v>
      </c>
      <c r="X69" s="39">
        <f>SUMIF('Exp Details'!$D$42:$D$45,'Function-Grant'!X$4,'Exp Details'!$H$42:$H$45)</f>
        <v>0</v>
      </c>
      <c r="Y69" s="39">
        <f>SUMIF('Exp Details'!$D$42:$D$45,'Function-Grant'!Y$4,'Exp Details'!$H$42:$H$45)</f>
        <v>0</v>
      </c>
      <c r="Z69" s="39">
        <f>SUMIF('Exp Details'!$D$42:$D$45,'Function-Grant'!Z$4,'Exp Details'!$H$42:$H$45)</f>
        <v>0</v>
      </c>
      <c r="AA69" s="39">
        <f>SUMIF('Exp Details'!$D$42:$D$45,'Function-Grant'!AA$4,'Exp Details'!$H$42:$H$45)</f>
        <v>0</v>
      </c>
      <c r="AB69" s="39">
        <f>SUMIF('Exp Details'!$D$42:$D$45,'Function-Grant'!AB$4,'Exp Details'!$H$42:$H$45)</f>
        <v>0</v>
      </c>
      <c r="AC69" s="39">
        <f>SUMIF('Exp Details'!$D$42:$D$45,'Function-Grant'!AC$4,'Exp Details'!$H$42:$H$45)</f>
        <v>0</v>
      </c>
      <c r="AD69" s="39">
        <f>SUMIF('Exp Details'!$D$42:$D$45,'Function-Grant'!AD$4,'Exp Details'!$H$42:$H$45)</f>
        <v>0</v>
      </c>
      <c r="AE69" s="39">
        <f>SUMIF('Exp Details'!$D$42:$D$45,'Function-Grant'!AE$4,'Exp Details'!$H$42:$H$45)</f>
        <v>0</v>
      </c>
      <c r="AF69" s="39">
        <f>SUMIF('Exp Details'!$D$42:$D$45,'Function-Grant'!AF$4,'Exp Details'!$H$42:$H$45)</f>
        <v>0</v>
      </c>
      <c r="AG69" s="39">
        <f>SUMIF('Exp Details'!$D$42:$D$45,'Function-Grant'!AG$4,'Exp Details'!$H$42:$H$45)</f>
        <v>0</v>
      </c>
      <c r="AH69" s="39">
        <f>SUMIF('Exp Details'!$D$42:$D$45,'Function-Grant'!AH$4,'Exp Details'!$H$42:$H$45)</f>
        <v>0</v>
      </c>
      <c r="AI69" s="39">
        <f>SUMIF('Exp Details'!$D$42:$D$45,'Function-Grant'!AI$4,'Exp Details'!$H$42:$H$45)</f>
        <v>0</v>
      </c>
      <c r="AJ69" s="39">
        <f>SUMIF('Exp Details'!$D$42:$D$45,'Function-Grant'!AJ$4,'Exp Details'!$H$42:$H$45)</f>
        <v>0</v>
      </c>
      <c r="AK69" s="39">
        <f>SUMIF('Exp Details'!$D$42:$D$45,'Function-Grant'!AK$4,'Exp Details'!$H$42:$H$45)</f>
        <v>0</v>
      </c>
      <c r="AL69" s="39">
        <f>SUMIF('Exp Details'!$D$42:$D$45,'Function-Grant'!AL$4,'Exp Details'!$H$42:$H$45)</f>
        <v>0</v>
      </c>
      <c r="AM69" s="39">
        <f>SUMIF('Exp Details'!$D$42:$D$45,'Function-Grant'!AM$4,'Exp Details'!$H$42:$H$45)</f>
        <v>0</v>
      </c>
      <c r="AN69" s="41"/>
      <c r="AO69" s="59">
        <f t="shared" si="26"/>
        <v>500</v>
      </c>
      <c r="AP69" s="41"/>
      <c r="AQ69" s="260">
        <f>AO69-'FY21'!S69</f>
        <v>0</v>
      </c>
    </row>
    <row r="70" spans="3:43" s="37" customFormat="1" ht="12" x14ac:dyDescent="0.2">
      <c r="C70" s="200">
        <v>6340</v>
      </c>
      <c r="D70" s="37" t="s">
        <v>15</v>
      </c>
      <c r="E70" s="39">
        <f>SUMIF('Exp Details'!$D$49:$D$53,'Function-Grant'!E$4,'Exp Details'!$H$49:$H$53)</f>
        <v>0</v>
      </c>
      <c r="F70" s="39">
        <f>SUMIF('Exp Details'!$D$49:$D$53,'Function-Grant'!F$4,'Exp Details'!$H$49:$H$53)</f>
        <v>0</v>
      </c>
      <c r="G70" s="39">
        <f>SUMIF('Exp Details'!$D$49:$D$53,'Function-Grant'!G$4,'Exp Details'!$H$49:$H$53)</f>
        <v>0</v>
      </c>
      <c r="H70" s="39">
        <f>SUMIF('Exp Details'!$D$49:$D$53,'Function-Grant'!H$4,'Exp Details'!$H$49:$H$53)</f>
        <v>0</v>
      </c>
      <c r="I70" s="39">
        <f>SUMIF('Exp Details'!$D$49:$D$53,'Function-Grant'!I$4,'Exp Details'!$H$49:$H$53)</f>
        <v>0</v>
      </c>
      <c r="J70" s="39">
        <f>SUMIF('Exp Details'!$D$49:$D$53,'Function-Grant'!J$4,'Exp Details'!$H$49:$H$53)</f>
        <v>0</v>
      </c>
      <c r="K70" s="39">
        <f>SUMIF('Exp Details'!$D$49:$D$53,'Function-Grant'!K$4,'Exp Details'!$H$49:$H$53)</f>
        <v>0</v>
      </c>
      <c r="L70" s="39">
        <f>SUMIF('Exp Details'!$D$49:$D$53,'Function-Grant'!L$4,'Exp Details'!$H$49:$H$53)</f>
        <v>0</v>
      </c>
      <c r="M70" s="39">
        <f>SUMIF('Exp Details'!$D$49:$D$53,'Function-Grant'!M$4,'Exp Details'!$H$49:$H$53)</f>
        <v>0</v>
      </c>
      <c r="N70" s="39">
        <f>SUMIF('Exp Details'!$D$49:$D$53,'Function-Grant'!N$4,'Exp Details'!$H$49:$H$53)</f>
        <v>0</v>
      </c>
      <c r="O70" s="39">
        <f>SUMIF('Exp Details'!$D$49:$D$53,'Function-Grant'!O$4,'Exp Details'!$H$49:$H$53)</f>
        <v>0</v>
      </c>
      <c r="P70" s="371">
        <f>SUMIF('Exp Details'!$D$49:$D$53,'Function-Grant'!P$4,'Exp Details'!$H$49:$H$53)</f>
        <v>29160</v>
      </c>
      <c r="Q70" s="39">
        <f>SUMIF('Exp Details'!$D$49:$D$53,'Function-Grant'!Q$4,'Exp Details'!$H$49:$H$53)</f>
        <v>0</v>
      </c>
      <c r="R70" s="39">
        <f>SUMIF('Exp Details'!$D$49:$D$53,'Function-Grant'!R$4,'Exp Details'!$H$49:$H$53)</f>
        <v>0</v>
      </c>
      <c r="S70" s="39">
        <f>SUMIF('Exp Details'!$D$49:$D$53,'Function-Grant'!S$4,'Exp Details'!$H$49:$H$53)</f>
        <v>0</v>
      </c>
      <c r="T70" s="39">
        <f>SUMIF('Exp Details'!$D$49:$D$53,'Function-Grant'!T$4,'Exp Details'!$H$49:$H$53)</f>
        <v>0</v>
      </c>
      <c r="U70" s="371">
        <f>SUMIF('Exp Details'!$D$49:$D$53,'Function-Grant'!U$4,'Exp Details'!$H$49:$H$53)</f>
        <v>0</v>
      </c>
      <c r="V70" s="39">
        <f>SUMIF('Exp Details'!$D$49:$D$53,'Function-Grant'!V$4,'Exp Details'!$H$49:$H$53)</f>
        <v>0</v>
      </c>
      <c r="W70" s="39">
        <f>SUMIF('Exp Details'!$D$49:$D$53,'Function-Grant'!W$4,'Exp Details'!$H$49:$H$53)</f>
        <v>0</v>
      </c>
      <c r="X70" s="39">
        <f>SUMIF('Exp Details'!$D$49:$D$53,'Function-Grant'!X$4,'Exp Details'!$H$49:$H$53)</f>
        <v>0</v>
      </c>
      <c r="Y70" s="39">
        <f>SUMIF('Exp Details'!$D$49:$D$53,'Function-Grant'!Y$4,'Exp Details'!$H$49:$H$53)</f>
        <v>0</v>
      </c>
      <c r="Z70" s="39">
        <f>SUMIF('Exp Details'!$D$49:$D$53,'Function-Grant'!Z$4,'Exp Details'!$H$49:$H$53)</f>
        <v>0</v>
      </c>
      <c r="AA70" s="39">
        <f>SUMIF('Exp Details'!$D$49:$D$53,'Function-Grant'!AA$4,'Exp Details'!$H$49:$H$53)</f>
        <v>0</v>
      </c>
      <c r="AB70" s="39">
        <f>SUMIF('Exp Details'!$D$49:$D$53,'Function-Grant'!AB$4,'Exp Details'!$H$49:$H$53)</f>
        <v>0</v>
      </c>
      <c r="AC70" s="39">
        <f>SUMIF('Exp Details'!$D$49:$D$53,'Function-Grant'!AC$4,'Exp Details'!$H$49:$H$53)</f>
        <v>0</v>
      </c>
      <c r="AD70" s="39">
        <f>SUMIF('Exp Details'!$D$49:$D$53,'Function-Grant'!AD$4,'Exp Details'!$H$49:$H$53)</f>
        <v>0</v>
      </c>
      <c r="AE70" s="39">
        <f>SUMIF('Exp Details'!$D$49:$D$53,'Function-Grant'!AE$4,'Exp Details'!$H$49:$H$53)</f>
        <v>0</v>
      </c>
      <c r="AF70" s="39">
        <f>SUMIF('Exp Details'!$D$49:$D$53,'Function-Grant'!AF$4,'Exp Details'!$H$49:$H$53)</f>
        <v>0</v>
      </c>
      <c r="AG70" s="39">
        <f>SUMIF('Exp Details'!$D$49:$D$53,'Function-Grant'!AG$4,'Exp Details'!$H$49:$H$53)</f>
        <v>0</v>
      </c>
      <c r="AH70" s="39">
        <f>SUMIF('Exp Details'!$D$49:$D$53,'Function-Grant'!AH$4,'Exp Details'!$H$49:$H$53)</f>
        <v>0</v>
      </c>
      <c r="AI70" s="39">
        <f>SUMIF('Exp Details'!$D$49:$D$53,'Function-Grant'!AI$4,'Exp Details'!$H$49:$H$53)</f>
        <v>0</v>
      </c>
      <c r="AJ70" s="39">
        <f>SUMIF('Exp Details'!$D$49:$D$53,'Function-Grant'!AJ$4,'Exp Details'!$H$49:$H$53)</f>
        <v>0</v>
      </c>
      <c r="AK70" s="39">
        <f>SUMIF('Exp Details'!$D$49:$D$53,'Function-Grant'!AK$4,'Exp Details'!$H$49:$H$53)</f>
        <v>0</v>
      </c>
      <c r="AL70" s="39">
        <f>SUMIF('Exp Details'!$D$49:$D$53,'Function-Grant'!AL$4,'Exp Details'!$H$49:$H$53)</f>
        <v>0</v>
      </c>
      <c r="AM70" s="39">
        <f>SUMIF('Exp Details'!$D$49:$D$53,'Function-Grant'!AM$4,'Exp Details'!$H$49:$H$53)</f>
        <v>0</v>
      </c>
      <c r="AN70" s="41"/>
      <c r="AO70" s="59">
        <f t="shared" si="26"/>
        <v>29160</v>
      </c>
      <c r="AP70" s="41"/>
      <c r="AQ70" s="260">
        <f>AO70-'FY21'!S70</f>
        <v>0</v>
      </c>
    </row>
    <row r="71" spans="3:43" s="37" customFormat="1" ht="12" x14ac:dyDescent="0.2">
      <c r="C71" s="200">
        <v>6345</v>
      </c>
      <c r="D71" s="37" t="s">
        <v>16</v>
      </c>
      <c r="E71" s="39">
        <f>SUMIF('Exp Details'!$D$57:$D$59,'Function-Grant'!E$4,'Exp Details'!$H$57:$H$59)</f>
        <v>0</v>
      </c>
      <c r="F71" s="39">
        <f>SUMIF('Exp Details'!$D$57:$D$59,'Function-Grant'!F$4,'Exp Details'!$H$57:$H$59)</f>
        <v>0</v>
      </c>
      <c r="G71" s="39">
        <f>SUMIF('Exp Details'!$D$57:$D$59,'Function-Grant'!G$4,'Exp Details'!$H$57:$H$59)</f>
        <v>0</v>
      </c>
      <c r="H71" s="39">
        <f>SUMIF('Exp Details'!$D$57:$D$59,'Function-Grant'!H$4,'Exp Details'!$H$57:$H$59)</f>
        <v>0</v>
      </c>
      <c r="I71" s="39">
        <f>SUMIF('Exp Details'!$D$57:$D$59,'Function-Grant'!I$4,'Exp Details'!$H$57:$H$59)</f>
        <v>0</v>
      </c>
      <c r="J71" s="39">
        <f>SUMIF('Exp Details'!$D$57:$D$59,'Function-Grant'!J$4,'Exp Details'!$H$57:$H$59)</f>
        <v>0</v>
      </c>
      <c r="K71" s="39">
        <f>SUMIF('Exp Details'!$D$57:$D$59,'Function-Grant'!K$4,'Exp Details'!$H$57:$H$59)</f>
        <v>0</v>
      </c>
      <c r="L71" s="39">
        <f>SUMIF('Exp Details'!$D$57:$D$59,'Function-Grant'!L$4,'Exp Details'!$H$57:$H$59)</f>
        <v>0</v>
      </c>
      <c r="M71" s="39">
        <f>SUMIF('Exp Details'!$D$57:$D$59,'Function-Grant'!M$4,'Exp Details'!$H$57:$H$59)</f>
        <v>0</v>
      </c>
      <c r="N71" s="39">
        <f>SUMIF('Exp Details'!$D$57:$D$59,'Function-Grant'!N$4,'Exp Details'!$H$57:$H$59)</f>
        <v>0</v>
      </c>
      <c r="O71" s="39">
        <f>SUMIF('Exp Details'!$D$57:$D$59,'Function-Grant'!O$4,'Exp Details'!$H$57:$H$59)</f>
        <v>0</v>
      </c>
      <c r="P71" s="39">
        <f>SUMIF('Exp Details'!$D$57:$D$59,'Function-Grant'!P$4,'Exp Details'!$H$57:$H$59)</f>
        <v>0</v>
      </c>
      <c r="Q71" s="39">
        <f>SUMIF('Exp Details'!$D$57:$D$59,'Function-Grant'!Q$4,'Exp Details'!$H$57:$H$59)</f>
        <v>0</v>
      </c>
      <c r="R71" s="39">
        <f>SUMIF('Exp Details'!$D$57:$D$59,'Function-Grant'!R$4,'Exp Details'!$H$57:$H$59)</f>
        <v>0</v>
      </c>
      <c r="S71" s="39">
        <f>SUMIF('Exp Details'!$D$57:$D$59,'Function-Grant'!S$4,'Exp Details'!$H$57:$H$59)</f>
        <v>0</v>
      </c>
      <c r="T71" s="39">
        <f>SUMIF('Exp Details'!$D$57:$D$59,'Function-Grant'!T$4,'Exp Details'!$H$57:$H$59)</f>
        <v>0</v>
      </c>
      <c r="U71" s="39">
        <f>SUMIF('Exp Details'!$D$57:$D$59,'Function-Grant'!U$4,'Exp Details'!$H$57:$H$59)</f>
        <v>0</v>
      </c>
      <c r="V71" s="39">
        <f>SUMIF('Exp Details'!$D$57:$D$59,'Function-Grant'!V$4,'Exp Details'!$H$57:$H$59)</f>
        <v>0</v>
      </c>
      <c r="W71" s="39">
        <f>SUMIF('Exp Details'!$D$57:$D$59,'Function-Grant'!W$4,'Exp Details'!$H$57:$H$59)</f>
        <v>0</v>
      </c>
      <c r="X71" s="39">
        <f>SUMIF('Exp Details'!$D$57:$D$59,'Function-Grant'!X$4,'Exp Details'!$H$57:$H$59)</f>
        <v>0</v>
      </c>
      <c r="Y71" s="39">
        <f>SUMIF('Exp Details'!$D$57:$D$59,'Function-Grant'!Y$4,'Exp Details'!$H$57:$H$59)</f>
        <v>0</v>
      </c>
      <c r="Z71" s="39">
        <f>SUMIF('Exp Details'!$D$57:$D$59,'Function-Grant'!Z$4,'Exp Details'!$H$57:$H$59)</f>
        <v>0</v>
      </c>
      <c r="AA71" s="39">
        <f>SUMIF('Exp Details'!$D$57:$D$59,'Function-Grant'!AA$4,'Exp Details'!$H$57:$H$59)</f>
        <v>0</v>
      </c>
      <c r="AB71" s="39">
        <f>SUMIF('Exp Details'!$D$57:$D$59,'Function-Grant'!AB$4,'Exp Details'!$H$57:$H$59)</f>
        <v>0</v>
      </c>
      <c r="AC71" s="39">
        <f>SUMIF('Exp Details'!$D$57:$D$59,'Function-Grant'!AC$4,'Exp Details'!$H$57:$H$59)</f>
        <v>0</v>
      </c>
      <c r="AD71" s="39">
        <f>SUMIF('Exp Details'!$D$57:$D$59,'Function-Grant'!AD$4,'Exp Details'!$H$57:$H$59)</f>
        <v>0</v>
      </c>
      <c r="AE71" s="39">
        <f>SUMIF('Exp Details'!$D$57:$D$59,'Function-Grant'!AE$4,'Exp Details'!$H$57:$H$59)</f>
        <v>0</v>
      </c>
      <c r="AF71" s="39">
        <f>SUMIF('Exp Details'!$D$57:$D$59,'Function-Grant'!AF$4,'Exp Details'!$H$57:$H$59)</f>
        <v>0</v>
      </c>
      <c r="AG71" s="39">
        <f>SUMIF('Exp Details'!$D$57:$D$59,'Function-Grant'!AG$4,'Exp Details'!$H$57:$H$59)</f>
        <v>0</v>
      </c>
      <c r="AH71" s="39">
        <f>SUMIF('Exp Details'!$D$57:$D$59,'Function-Grant'!AH$4,'Exp Details'!$H$57:$H$59)</f>
        <v>0</v>
      </c>
      <c r="AI71" s="39">
        <f>SUMIF('Exp Details'!$D$57:$D$59,'Function-Grant'!AI$4,'Exp Details'!$H$57:$H$59)</f>
        <v>0</v>
      </c>
      <c r="AJ71" s="39">
        <f>SUMIF('Exp Details'!$D$57:$D$59,'Function-Grant'!AJ$4,'Exp Details'!$H$57:$H$59)</f>
        <v>0</v>
      </c>
      <c r="AK71" s="39">
        <f>SUMIF('Exp Details'!$D$57:$D$59,'Function-Grant'!AK$4,'Exp Details'!$H$57:$H$59)</f>
        <v>0</v>
      </c>
      <c r="AL71" s="39">
        <f>SUMIF('Exp Details'!$D$57:$D$59,'Function-Grant'!AL$4,'Exp Details'!$H$57:$H$59)</f>
        <v>0</v>
      </c>
      <c r="AM71" s="39">
        <f>SUMIF('Exp Details'!$D$57:$D$59,'Function-Grant'!AM$4,'Exp Details'!$H$57:$H$59)</f>
        <v>0</v>
      </c>
      <c r="AN71" s="41"/>
      <c r="AO71" s="59">
        <f t="shared" si="26"/>
        <v>0</v>
      </c>
      <c r="AP71" s="41"/>
      <c r="AQ71" s="260">
        <f>AO71-'FY21'!S71</f>
        <v>0</v>
      </c>
    </row>
    <row r="72" spans="3:43" s="37" customFormat="1" ht="12" x14ac:dyDescent="0.2">
      <c r="C72" s="200">
        <v>6350</v>
      </c>
      <c r="D72" s="37" t="s">
        <v>17</v>
      </c>
      <c r="E72" s="39">
        <f>SUMIF('Exp Details'!$D$63:$D$65,'Function-Grant'!E$4,'Exp Details'!$H$63:$H$65)</f>
        <v>0</v>
      </c>
      <c r="F72" s="39">
        <f>SUMIF('Exp Details'!$D$63:$D$65,'Function-Grant'!F$4,'Exp Details'!$H$63:$H$65)</f>
        <v>0</v>
      </c>
      <c r="G72" s="39">
        <f>SUMIF('Exp Details'!$D$63:$D$65,'Function-Grant'!G$4,'Exp Details'!$H$63:$H$65)</f>
        <v>0</v>
      </c>
      <c r="H72" s="39">
        <f>SUMIF('Exp Details'!$D$63:$D$65,'Function-Grant'!H$4,'Exp Details'!$H$63:$H$65)</f>
        <v>0</v>
      </c>
      <c r="I72" s="39">
        <f>SUMIF('Exp Details'!$D$63:$D$65,'Function-Grant'!I$4,'Exp Details'!$H$63:$H$65)</f>
        <v>0</v>
      </c>
      <c r="J72" s="39">
        <f>SUMIF('Exp Details'!$D$63:$D$65,'Function-Grant'!J$4,'Exp Details'!$H$63:$H$65)</f>
        <v>0</v>
      </c>
      <c r="K72" s="39">
        <f>SUMIF('Exp Details'!$D$63:$D$65,'Function-Grant'!K$4,'Exp Details'!$H$63:$H$65)</f>
        <v>0</v>
      </c>
      <c r="L72" s="39">
        <f>SUMIF('Exp Details'!$D$63:$D$65,'Function-Grant'!L$4,'Exp Details'!$H$63:$H$65)</f>
        <v>0</v>
      </c>
      <c r="M72" s="39">
        <f>SUMIF('Exp Details'!$D$63:$D$65,'Function-Grant'!M$4,'Exp Details'!$H$63:$H$65)</f>
        <v>0</v>
      </c>
      <c r="N72" s="39">
        <f>SUMIF('Exp Details'!$D$63:$D$65,'Function-Grant'!N$4,'Exp Details'!$H$63:$H$65)</f>
        <v>0</v>
      </c>
      <c r="O72" s="39">
        <f>SUMIF('Exp Details'!$D$63:$D$65,'Function-Grant'!O$4,'Exp Details'!$H$63:$H$65)</f>
        <v>0</v>
      </c>
      <c r="P72" s="39">
        <f>SUMIF('Exp Details'!$D$63:$D$65,'Function-Grant'!P$4,'Exp Details'!$H$63:$H$65)</f>
        <v>0</v>
      </c>
      <c r="Q72" s="39">
        <f>SUMIF('Exp Details'!$D$63:$D$65,'Function-Grant'!Q$4,'Exp Details'!$H$63:$H$65)</f>
        <v>0</v>
      </c>
      <c r="R72" s="39">
        <f>SUMIF('Exp Details'!$D$63:$D$65,'Function-Grant'!R$4,'Exp Details'!$H$63:$H$65)</f>
        <v>0</v>
      </c>
      <c r="S72" s="371">
        <f>SUMIF('Exp Details'!$D$63:$D$65,'Function-Grant'!S$4,'Exp Details'!$H$63:$H$65)</f>
        <v>2000</v>
      </c>
      <c r="T72" s="39">
        <f>SUMIF('Exp Details'!$D$63:$D$65,'Function-Grant'!T$4,'Exp Details'!$H$63:$H$65)</f>
        <v>0</v>
      </c>
      <c r="U72" s="39">
        <f>SUMIF('Exp Details'!$D$63:$D$65,'Function-Grant'!U$4,'Exp Details'!$H$63:$H$65)</f>
        <v>0</v>
      </c>
      <c r="V72" s="39">
        <f>SUMIF('Exp Details'!$D$63:$D$65,'Function-Grant'!V$4,'Exp Details'!$H$63:$H$65)</f>
        <v>0</v>
      </c>
      <c r="W72" s="39">
        <f>SUMIF('Exp Details'!$D$63:$D$65,'Function-Grant'!W$4,'Exp Details'!$H$63:$H$65)</f>
        <v>0</v>
      </c>
      <c r="X72" s="39">
        <f>SUMIF('Exp Details'!$D$63:$D$65,'Function-Grant'!X$4,'Exp Details'!$H$63:$H$65)</f>
        <v>0</v>
      </c>
      <c r="Y72" s="39">
        <f>SUMIF('Exp Details'!$D$63:$D$65,'Function-Grant'!Y$4,'Exp Details'!$H$63:$H$65)</f>
        <v>0</v>
      </c>
      <c r="Z72" s="39">
        <f>SUMIF('Exp Details'!$D$63:$D$65,'Function-Grant'!Z$4,'Exp Details'!$H$63:$H$65)</f>
        <v>0</v>
      </c>
      <c r="AA72" s="39">
        <f>SUMIF('Exp Details'!$D$63:$D$65,'Function-Grant'!AA$4,'Exp Details'!$H$63:$H$65)</f>
        <v>0</v>
      </c>
      <c r="AB72" s="39">
        <f>SUMIF('Exp Details'!$D$63:$D$65,'Function-Grant'!AB$4,'Exp Details'!$H$63:$H$65)</f>
        <v>0</v>
      </c>
      <c r="AC72" s="39">
        <f>SUMIF('Exp Details'!$D$63:$D$65,'Function-Grant'!AC$4,'Exp Details'!$H$63:$H$65)</f>
        <v>0</v>
      </c>
      <c r="AD72" s="39">
        <f>SUMIF('Exp Details'!$D$63:$D$65,'Function-Grant'!AD$4,'Exp Details'!$H$63:$H$65)</f>
        <v>0</v>
      </c>
      <c r="AE72" s="39">
        <f>SUMIF('Exp Details'!$D$63:$D$65,'Function-Grant'!AE$4,'Exp Details'!$H$63:$H$65)</f>
        <v>0</v>
      </c>
      <c r="AF72" s="39">
        <f>SUMIF('Exp Details'!$D$63:$D$65,'Function-Grant'!AF$4,'Exp Details'!$H$63:$H$65)</f>
        <v>0</v>
      </c>
      <c r="AG72" s="39">
        <f>SUMIF('Exp Details'!$D$63:$D$65,'Function-Grant'!AG$4,'Exp Details'!$H$63:$H$65)</f>
        <v>0</v>
      </c>
      <c r="AH72" s="39">
        <f>SUMIF('Exp Details'!$D$63:$D$65,'Function-Grant'!AH$4,'Exp Details'!$H$63:$H$65)</f>
        <v>0</v>
      </c>
      <c r="AI72" s="39">
        <f>SUMIF('Exp Details'!$D$63:$D$65,'Function-Grant'!AI$4,'Exp Details'!$H$63:$H$65)</f>
        <v>0</v>
      </c>
      <c r="AJ72" s="39">
        <f>SUMIF('Exp Details'!$D$63:$D$65,'Function-Grant'!AJ$4,'Exp Details'!$H$63:$H$65)</f>
        <v>0</v>
      </c>
      <c r="AK72" s="39">
        <f>SUMIF('Exp Details'!$D$63:$D$65,'Function-Grant'!AK$4,'Exp Details'!$H$63:$H$65)</f>
        <v>0</v>
      </c>
      <c r="AL72" s="39">
        <f>SUMIF('Exp Details'!$D$63:$D$65,'Function-Grant'!AL$4,'Exp Details'!$H$63:$H$65)</f>
        <v>0</v>
      </c>
      <c r="AM72" s="39">
        <f>SUMIF('Exp Details'!$D$63:$D$65,'Function-Grant'!AM$4,'Exp Details'!$H$63:$H$65)</f>
        <v>0</v>
      </c>
      <c r="AN72" s="41"/>
      <c r="AO72" s="59">
        <f t="shared" si="26"/>
        <v>2000</v>
      </c>
      <c r="AP72" s="41"/>
      <c r="AQ72" s="260">
        <f>AO72-'FY21'!S72</f>
        <v>0</v>
      </c>
    </row>
    <row r="73" spans="3:43" s="37" customFormat="1" ht="12" x14ac:dyDescent="0.2">
      <c r="C73" s="200">
        <v>6351</v>
      </c>
      <c r="D73" s="37" t="s">
        <v>18</v>
      </c>
      <c r="E73" s="39">
        <f>SUMIF('Exp Details'!$D$69:$D$74,'Function-Grant'!E$4,'Exp Details'!$H$69:$H$74)</f>
        <v>0</v>
      </c>
      <c r="F73" s="39">
        <f>SUMIF('Exp Details'!$D$69:$D$74,'Function-Grant'!F$4,'Exp Details'!$H$69:$H$74)</f>
        <v>0</v>
      </c>
      <c r="G73" s="39">
        <f>SUMIF('Exp Details'!$D$69:$D$74,'Function-Grant'!G$4,'Exp Details'!$H$69:$H$74)</f>
        <v>0</v>
      </c>
      <c r="H73" s="39">
        <f>SUMIF('Exp Details'!$D$69:$D$74,'Function-Grant'!H$4,'Exp Details'!$H$69:$H$74)</f>
        <v>0</v>
      </c>
      <c r="I73" s="39">
        <f>SUMIF('Exp Details'!$D$69:$D$74,'Function-Grant'!I$4,'Exp Details'!$H$69:$H$74)</f>
        <v>0</v>
      </c>
      <c r="J73" s="39">
        <f>SUMIF('Exp Details'!$D$69:$D$74,'Function-Grant'!J$4,'Exp Details'!$H$69:$H$74)</f>
        <v>0</v>
      </c>
      <c r="K73" s="39">
        <f>SUMIF('Exp Details'!$D$69:$D$74,'Function-Grant'!K$4,'Exp Details'!$H$69:$H$74)</f>
        <v>0</v>
      </c>
      <c r="L73" s="39">
        <f>SUMIF('Exp Details'!$D$69:$D$74,'Function-Grant'!L$4,'Exp Details'!$H$69:$H$74)</f>
        <v>0</v>
      </c>
      <c r="M73" s="39">
        <f>SUMIF('Exp Details'!$D$69:$D$74,'Function-Grant'!M$4,'Exp Details'!$H$69:$H$74)</f>
        <v>0</v>
      </c>
      <c r="N73" s="39">
        <f>SUMIF('Exp Details'!$D$69:$D$74,'Function-Grant'!N$4,'Exp Details'!$H$69:$H$74)</f>
        <v>0</v>
      </c>
      <c r="O73" s="39">
        <f>SUMIF('Exp Details'!$D$69:$D$74,'Function-Grant'!O$4,'Exp Details'!$H$69:$H$74)</f>
        <v>0</v>
      </c>
      <c r="P73" s="39">
        <f>SUMIF('Exp Details'!$D$69:$D$74,'Function-Grant'!P$4,'Exp Details'!$H$69:$H$74)</f>
        <v>0</v>
      </c>
      <c r="Q73" s="39">
        <f>SUMIF('Exp Details'!$D$69:$D$74,'Function-Grant'!Q$4,'Exp Details'!$H$69:$H$74)</f>
        <v>0</v>
      </c>
      <c r="R73" s="39">
        <f>SUMIF('Exp Details'!$D$69:$D$74,'Function-Grant'!R$4,'Exp Details'!$H$69:$H$74)</f>
        <v>0</v>
      </c>
      <c r="S73" s="39">
        <f>SUMIF('Exp Details'!$D$69:$D$74,'Function-Grant'!S$4,'Exp Details'!$H$69:$H$74)</f>
        <v>0</v>
      </c>
      <c r="T73" s="39">
        <f>SUMIF('Exp Details'!$D$69:$D$74,'Function-Grant'!T$4,'Exp Details'!$H$69:$H$74)</f>
        <v>0</v>
      </c>
      <c r="U73" s="39">
        <f>SUMIF('Exp Details'!$D$69:$D$74,'Function-Grant'!U$4,'Exp Details'!$H$69:$H$74)</f>
        <v>0</v>
      </c>
      <c r="V73" s="39">
        <f>SUMIF('Exp Details'!$D$69:$D$74,'Function-Grant'!V$4,'Exp Details'!$H$69:$H$74)</f>
        <v>0</v>
      </c>
      <c r="W73" s="39">
        <f>SUMIF('Exp Details'!$D$69:$D$74,'Function-Grant'!W$4,'Exp Details'!$H$69:$H$74)</f>
        <v>0</v>
      </c>
      <c r="X73" s="39">
        <f>SUMIF('Exp Details'!$D$69:$D$74,'Function-Grant'!X$4,'Exp Details'!$H$69:$H$74)</f>
        <v>0</v>
      </c>
      <c r="Y73" s="39">
        <f>SUMIF('Exp Details'!$D$69:$D$74,'Function-Grant'!Y$4,'Exp Details'!$H$69:$H$74)</f>
        <v>0</v>
      </c>
      <c r="Z73" s="39">
        <f>SUMIF('Exp Details'!$D$69:$D$74,'Function-Grant'!Z$4,'Exp Details'!$H$69:$H$74)</f>
        <v>0</v>
      </c>
      <c r="AA73" s="39">
        <f>SUMIF('Exp Details'!$D$69:$D$74,'Function-Grant'!AA$4,'Exp Details'!$H$69:$H$74)</f>
        <v>0</v>
      </c>
      <c r="AB73" s="39">
        <f>SUMIF('Exp Details'!$D$69:$D$74,'Function-Grant'!AB$4,'Exp Details'!$H$69:$H$74)</f>
        <v>0</v>
      </c>
      <c r="AC73" s="39">
        <f>SUMIF('Exp Details'!$D$69:$D$74,'Function-Grant'!AC$4,'Exp Details'!$H$69:$H$74)</f>
        <v>0</v>
      </c>
      <c r="AD73" s="39">
        <f>SUMIF('Exp Details'!$D$69:$D$74,'Function-Grant'!AD$4,'Exp Details'!$H$69:$H$74)</f>
        <v>0</v>
      </c>
      <c r="AE73" s="39">
        <f>SUMIF('Exp Details'!$D$69:$D$74,'Function-Grant'!AE$4,'Exp Details'!$H$69:$H$74)</f>
        <v>0</v>
      </c>
      <c r="AF73" s="39">
        <f>SUMIF('Exp Details'!$D$69:$D$74,'Function-Grant'!AF$4,'Exp Details'!$H$69:$H$74)</f>
        <v>0</v>
      </c>
      <c r="AG73" s="39">
        <f>SUMIF('Exp Details'!$D$69:$D$74,'Function-Grant'!AG$4,'Exp Details'!$H$69:$H$74)</f>
        <v>0</v>
      </c>
      <c r="AH73" s="39">
        <f>SUMIF('Exp Details'!$D$69:$D$74,'Function-Grant'!AH$4,'Exp Details'!$H$69:$H$74)</f>
        <v>0</v>
      </c>
      <c r="AI73" s="39">
        <f>SUMIF('Exp Details'!$D$69:$D$74,'Function-Grant'!AI$4,'Exp Details'!$H$69:$H$74)</f>
        <v>0</v>
      </c>
      <c r="AJ73" s="39">
        <f>SUMIF('Exp Details'!$D$69:$D$74,'Function-Grant'!AJ$4,'Exp Details'!$H$69:$H$74)</f>
        <v>0</v>
      </c>
      <c r="AK73" s="39">
        <f>SUMIF('Exp Details'!$D$69:$D$74,'Function-Grant'!AK$4,'Exp Details'!$H$69:$H$74)</f>
        <v>0</v>
      </c>
      <c r="AL73" s="39">
        <f>SUMIF('Exp Details'!$D$69:$D$74,'Function-Grant'!AL$4,'Exp Details'!$H$69:$H$74)</f>
        <v>0</v>
      </c>
      <c r="AM73" s="39">
        <f>SUMIF('Exp Details'!$D$69:$D$74,'Function-Grant'!AM$4,'Exp Details'!$H$69:$H$74)</f>
        <v>0</v>
      </c>
      <c r="AN73" s="41"/>
      <c r="AO73" s="59">
        <f t="shared" si="26"/>
        <v>0</v>
      </c>
      <c r="AP73" s="41"/>
      <c r="AQ73" s="260">
        <f>AO73-'FY21'!S73</f>
        <v>0</v>
      </c>
    </row>
    <row r="74" spans="3:43" s="37" customFormat="1" ht="12" x14ac:dyDescent="0.2">
      <c r="C74" s="38"/>
      <c r="E74" s="50">
        <f t="shared" ref="E74:AM74" si="27">SUBTOTAL(9,E64:E73)</f>
        <v>0</v>
      </c>
      <c r="F74" s="50">
        <f>SUBTOTAL(9,F64:F73)</f>
        <v>1810</v>
      </c>
      <c r="G74" s="50">
        <f>SUBTOTAL(9,G64:G73)</f>
        <v>0</v>
      </c>
      <c r="H74" s="50">
        <f t="shared" si="27"/>
        <v>0</v>
      </c>
      <c r="I74" s="50">
        <f t="shared" si="27"/>
        <v>0</v>
      </c>
      <c r="J74" s="50">
        <f t="shared" si="27"/>
        <v>0</v>
      </c>
      <c r="K74" s="50">
        <f t="shared" si="27"/>
        <v>0</v>
      </c>
      <c r="L74" s="50">
        <f t="shared" si="27"/>
        <v>0</v>
      </c>
      <c r="M74" s="50">
        <f t="shared" si="27"/>
        <v>0</v>
      </c>
      <c r="N74" s="50">
        <f t="shared" si="27"/>
        <v>3750</v>
      </c>
      <c r="O74" s="50">
        <f t="shared" si="27"/>
        <v>1500</v>
      </c>
      <c r="P74" s="50">
        <f t="shared" ref="P74" si="28">SUBTOTAL(9,P64:P73)</f>
        <v>29160</v>
      </c>
      <c r="Q74" s="50">
        <f t="shared" si="27"/>
        <v>0</v>
      </c>
      <c r="R74" s="50">
        <f t="shared" ref="R74:AH74" si="29">SUBTOTAL(9,R64:R73)</f>
        <v>0</v>
      </c>
      <c r="S74" s="50">
        <f t="shared" si="29"/>
        <v>2000</v>
      </c>
      <c r="T74" s="50">
        <f t="shared" si="29"/>
        <v>0</v>
      </c>
      <c r="U74" s="50">
        <f t="shared" si="29"/>
        <v>0</v>
      </c>
      <c r="V74" s="50">
        <f t="shared" si="29"/>
        <v>0</v>
      </c>
      <c r="W74" s="50">
        <f t="shared" ref="W74" si="30">SUBTOTAL(9,W64:W73)</f>
        <v>0</v>
      </c>
      <c r="X74" s="50">
        <f t="shared" si="29"/>
        <v>0</v>
      </c>
      <c r="Y74" s="50">
        <f t="shared" si="29"/>
        <v>0</v>
      </c>
      <c r="Z74" s="50">
        <f t="shared" si="29"/>
        <v>0</v>
      </c>
      <c r="AA74" s="50">
        <f t="shared" si="29"/>
        <v>0</v>
      </c>
      <c r="AB74" s="50">
        <f t="shared" si="29"/>
        <v>0</v>
      </c>
      <c r="AC74" s="50">
        <f t="shared" si="29"/>
        <v>0</v>
      </c>
      <c r="AD74" s="50">
        <f t="shared" si="29"/>
        <v>0</v>
      </c>
      <c r="AE74" s="50">
        <f t="shared" si="29"/>
        <v>0</v>
      </c>
      <c r="AF74" s="50">
        <f t="shared" si="29"/>
        <v>0</v>
      </c>
      <c r="AG74" s="50">
        <f t="shared" si="29"/>
        <v>0</v>
      </c>
      <c r="AH74" s="50">
        <f t="shared" si="29"/>
        <v>0</v>
      </c>
      <c r="AI74" s="50">
        <f t="shared" si="27"/>
        <v>0</v>
      </c>
      <c r="AJ74" s="50">
        <f t="shared" si="27"/>
        <v>0</v>
      </c>
      <c r="AK74" s="50">
        <f t="shared" si="27"/>
        <v>0</v>
      </c>
      <c r="AL74" s="50">
        <f t="shared" si="27"/>
        <v>0</v>
      </c>
      <c r="AM74" s="50">
        <f t="shared" si="27"/>
        <v>0</v>
      </c>
      <c r="AN74" s="41"/>
      <c r="AO74" s="61">
        <f t="shared" ref="AO74" si="31">SUBTOTAL(9,AO64:AO73)</f>
        <v>38220</v>
      </c>
      <c r="AP74" s="41"/>
      <c r="AQ74" s="260">
        <f>AO74-'FY21'!S74</f>
        <v>0</v>
      </c>
    </row>
    <row r="75" spans="3:4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41"/>
      <c r="AO75" s="59"/>
      <c r="AP75" s="41"/>
      <c r="AQ75" s="260">
        <f>AO75-'FY21'!S75</f>
        <v>0</v>
      </c>
    </row>
    <row r="76" spans="3:43" s="37" customFormat="1" ht="12" x14ac:dyDescent="0.2">
      <c r="C76" s="200">
        <v>6410</v>
      </c>
      <c r="D76" s="37" t="s">
        <v>19</v>
      </c>
      <c r="E76" s="39">
        <f>SUMIF('Exp Details'!$D$79:$D$82,'Function-Grant'!E$4,'Exp Details'!$H$79:$H$82)</f>
        <v>0</v>
      </c>
      <c r="F76" s="39">
        <f>SUMIF('Exp Details'!$D$79:$D$82,'Function-Grant'!F$4,'Exp Details'!$H$79:$H$82)</f>
        <v>0</v>
      </c>
      <c r="G76" s="39">
        <f>SUMIF('Exp Details'!$D$79:$D$82,'Function-Grant'!G$4,'Exp Details'!$H$79:$H$82)</f>
        <v>0</v>
      </c>
      <c r="H76" s="39">
        <f>SUMIF('Exp Details'!$D$79:$D$82,'Function-Grant'!H$4,'Exp Details'!$H$79:$H$82)</f>
        <v>0</v>
      </c>
      <c r="I76" s="39">
        <f>SUMIF('Exp Details'!$D$79:$D$82,'Function-Grant'!I$4,'Exp Details'!$H$79:$H$82)</f>
        <v>0</v>
      </c>
      <c r="J76" s="39">
        <f>SUMIF('Exp Details'!$D$79:$D$82,'Function-Grant'!J$4,'Exp Details'!$H$79:$H$82)</f>
        <v>0</v>
      </c>
      <c r="K76" s="39">
        <f>SUMIF('Exp Details'!$D$79:$D$82,'Function-Grant'!K$4,'Exp Details'!$H$79:$H$82)</f>
        <v>0</v>
      </c>
      <c r="L76" s="39">
        <f>SUMIF('Exp Details'!$D$79:$D$82,'Function-Grant'!L$4,'Exp Details'!$H$79:$H$82)</f>
        <v>0</v>
      </c>
      <c r="M76" s="39">
        <f>SUMIF('Exp Details'!$D$79:$D$82,'Function-Grant'!M$4,'Exp Details'!$H$79:$H$82)</f>
        <v>0</v>
      </c>
      <c r="N76" s="39">
        <f>SUMIF('Exp Details'!$D$79:$D$82,'Function-Grant'!N$4,'Exp Details'!$H$79:$H$82)</f>
        <v>0</v>
      </c>
      <c r="O76" s="39">
        <f>SUMIF('Exp Details'!$D$79:$D$82,'Function-Grant'!O$4,'Exp Details'!$H$79:$H$82)</f>
        <v>0</v>
      </c>
      <c r="P76" s="39">
        <f>SUMIF('Exp Details'!$D$79:$D$82,'Function-Grant'!P$4,'Exp Details'!$H$79:$H$82)</f>
        <v>0</v>
      </c>
      <c r="Q76" s="39">
        <f>SUMIF('Exp Details'!$D$79:$D$82,'Function-Grant'!Q$4,'Exp Details'!$H$79:$H$82)</f>
        <v>0</v>
      </c>
      <c r="R76" s="39">
        <f>SUMIF('Exp Details'!$D$79:$D$82,'Function-Grant'!R$4,'Exp Details'!$H$79:$H$82)</f>
        <v>0</v>
      </c>
      <c r="S76" s="39">
        <f>SUMIF('Exp Details'!$D$79:$D$82,'Function-Grant'!S$4,'Exp Details'!$H$79:$H$82)</f>
        <v>0</v>
      </c>
      <c r="T76" s="39">
        <f>SUMIF('Exp Details'!$D$79:$D$82,'Function-Grant'!T$4,'Exp Details'!$H$79:$H$82)</f>
        <v>0</v>
      </c>
      <c r="U76" s="371">
        <f>SUMIF('Exp Details'!$D$79:$D$82,'Function-Grant'!U$4,'Exp Details'!$H$79:$H$82)</f>
        <v>2400</v>
      </c>
      <c r="V76" s="39">
        <f>SUMIF('Exp Details'!$D$79:$D$82,'Function-Grant'!V$4,'Exp Details'!$H$79:$H$82)</f>
        <v>0</v>
      </c>
      <c r="W76" s="39">
        <f>SUMIF('Exp Details'!$D$79:$D$82,'Function-Grant'!W$4,'Exp Details'!$H$79:$H$82)</f>
        <v>0</v>
      </c>
      <c r="X76" s="39">
        <f>SUMIF('Exp Details'!$D$79:$D$82,'Function-Grant'!X$4,'Exp Details'!$H$79:$H$82)</f>
        <v>0</v>
      </c>
      <c r="Y76" s="39">
        <f>SUMIF('Exp Details'!$D$79:$D$82,'Function-Grant'!Y$4,'Exp Details'!$H$79:$H$82)</f>
        <v>0</v>
      </c>
      <c r="Z76" s="39">
        <f>SUMIF('Exp Details'!$D$79:$D$82,'Function-Grant'!Z$4,'Exp Details'!$H$79:$H$82)</f>
        <v>0</v>
      </c>
      <c r="AA76" s="39">
        <f>SUMIF('Exp Details'!$D$79:$D$82,'Function-Grant'!AA$4,'Exp Details'!$H$79:$H$82)</f>
        <v>0</v>
      </c>
      <c r="AB76" s="39">
        <f>SUMIF('Exp Details'!$D$79:$D$82,'Function-Grant'!AB$4,'Exp Details'!$H$79:$H$82)</f>
        <v>0</v>
      </c>
      <c r="AC76" s="39">
        <f>SUMIF('Exp Details'!$D$79:$D$82,'Function-Grant'!AC$4,'Exp Details'!$H$79:$H$82)</f>
        <v>0</v>
      </c>
      <c r="AD76" s="39">
        <f>SUMIF('Exp Details'!$D$79:$D$82,'Function-Grant'!AD$4,'Exp Details'!$H$79:$H$82)</f>
        <v>0</v>
      </c>
      <c r="AE76" s="39">
        <f>SUMIF('Exp Details'!$D$79:$D$82,'Function-Grant'!AE$4,'Exp Details'!$H$79:$H$82)</f>
        <v>0</v>
      </c>
      <c r="AF76" s="39">
        <f>SUMIF('Exp Details'!$D$79:$D$82,'Function-Grant'!AF$4,'Exp Details'!$H$79:$H$82)</f>
        <v>0</v>
      </c>
      <c r="AG76" s="39">
        <f>SUMIF('Exp Details'!$D$79:$D$82,'Function-Grant'!AG$4,'Exp Details'!$H$79:$H$82)</f>
        <v>0</v>
      </c>
      <c r="AH76" s="39">
        <f>SUMIF('Exp Details'!$D$79:$D$82,'Function-Grant'!AH$4,'Exp Details'!$H$79:$H$82)</f>
        <v>0</v>
      </c>
      <c r="AI76" s="39">
        <f>SUMIF('Exp Details'!$D$79:$D$82,'Function-Grant'!AI$4,'Exp Details'!$H$79:$H$82)</f>
        <v>0</v>
      </c>
      <c r="AJ76" s="39">
        <f>SUMIF('Exp Details'!$D$79:$D$82,'Function-Grant'!AJ$4,'Exp Details'!$H$79:$H$82)</f>
        <v>0</v>
      </c>
      <c r="AK76" s="39">
        <f>SUMIF('Exp Details'!$D$79:$D$82,'Function-Grant'!AK$4,'Exp Details'!$H$79:$H$82)</f>
        <v>0</v>
      </c>
      <c r="AL76" s="39">
        <f>SUMIF('Exp Details'!$D$79:$D$82,'Function-Grant'!AL$4,'Exp Details'!$H$79:$H$82)</f>
        <v>0</v>
      </c>
      <c r="AM76" s="39">
        <f>SUMIF('Exp Details'!$D$79:$D$82,'Function-Grant'!AM$4,'Exp Details'!$H$79:$H$82)</f>
        <v>0</v>
      </c>
      <c r="AN76" s="41"/>
      <c r="AO76" s="59">
        <f>SUM(E76:AN76)</f>
        <v>2400</v>
      </c>
      <c r="AP76" s="41"/>
      <c r="AQ76" s="260">
        <f>AO76-'FY21'!S76</f>
        <v>0</v>
      </c>
    </row>
    <row r="77" spans="3:43" s="37" customFormat="1" ht="12" x14ac:dyDescent="0.2">
      <c r="C77" s="200">
        <v>6420</v>
      </c>
      <c r="D77" s="37" t="s">
        <v>20</v>
      </c>
      <c r="E77" s="39">
        <f>SUMIF('Exp Details'!$D$86:$D$94,'Function-Grant'!E$4,'Exp Details'!$H$86:$H$94)</f>
        <v>0</v>
      </c>
      <c r="F77" s="39">
        <f>SUMIF('Exp Details'!$D$86:$D$94,'Function-Grant'!F$4,'Exp Details'!$H$86:$H$94)</f>
        <v>0</v>
      </c>
      <c r="G77" s="39">
        <f>SUMIF('Exp Details'!$D$86:$D$94,'Function-Grant'!G$4,'Exp Details'!$H$86:$H$94)</f>
        <v>0</v>
      </c>
      <c r="H77" s="39">
        <f>SUMIF('Exp Details'!$D$86:$D$94,'Function-Grant'!H$4,'Exp Details'!$H$86:$H$94)</f>
        <v>0</v>
      </c>
      <c r="I77" s="39">
        <f>SUMIF('Exp Details'!$D$86:$D$94,'Function-Grant'!I$4,'Exp Details'!$H$86:$H$94)</f>
        <v>0</v>
      </c>
      <c r="J77" s="39">
        <f>SUMIF('Exp Details'!$D$86:$D$94,'Function-Grant'!J$4,'Exp Details'!$H$86:$H$94)</f>
        <v>0</v>
      </c>
      <c r="K77" s="39">
        <f>SUMIF('Exp Details'!$D$86:$D$94,'Function-Grant'!K$4,'Exp Details'!$H$86:$H$94)</f>
        <v>0</v>
      </c>
      <c r="L77" s="39">
        <f>SUMIF('Exp Details'!$D$86:$D$94,'Function-Grant'!L$4,'Exp Details'!$H$86:$H$94)</f>
        <v>0</v>
      </c>
      <c r="M77" s="39">
        <f>SUMIF('Exp Details'!$D$86:$D$94,'Function-Grant'!M$4,'Exp Details'!$H$86:$H$94)</f>
        <v>0</v>
      </c>
      <c r="N77" s="39">
        <f>SUMIF('Exp Details'!$D$86:$D$94,'Function-Grant'!N$4,'Exp Details'!$H$86:$H$94)</f>
        <v>0</v>
      </c>
      <c r="O77" s="39">
        <f>SUMIF('Exp Details'!$D$86:$D$94,'Function-Grant'!O$4,'Exp Details'!$H$86:$H$94)</f>
        <v>0</v>
      </c>
      <c r="P77" s="39">
        <f>SUMIF('Exp Details'!$D$86:$D$94,'Function-Grant'!P$4,'Exp Details'!$H$86:$H$94)</f>
        <v>0</v>
      </c>
      <c r="Q77" s="39">
        <f>SUMIF('Exp Details'!$D$86:$D$94,'Function-Grant'!Q$4,'Exp Details'!$H$86:$H$94)</f>
        <v>0</v>
      </c>
      <c r="R77" s="39">
        <f>SUMIF('Exp Details'!$D$86:$D$94,'Function-Grant'!R$4,'Exp Details'!$H$86:$H$94)</f>
        <v>0</v>
      </c>
      <c r="S77" s="39">
        <f>SUMIF('Exp Details'!$D$86:$D$94,'Function-Grant'!S$4,'Exp Details'!$H$86:$H$94)</f>
        <v>0</v>
      </c>
      <c r="T77" s="39">
        <f>SUMIF('Exp Details'!$D$86:$D$94,'Function-Grant'!T$4,'Exp Details'!$H$86:$H$94)</f>
        <v>0</v>
      </c>
      <c r="U77" s="39">
        <f>SUMIF('Exp Details'!$D$86:$D$94,'Function-Grant'!U$4,'Exp Details'!$H$86:$H$94)</f>
        <v>0</v>
      </c>
      <c r="V77" s="371">
        <f>SUMIF('Exp Details'!$D$86:$D$94,'Function-Grant'!V$4,'Exp Details'!$H$86:$H$94)</f>
        <v>9100</v>
      </c>
      <c r="W77" s="371">
        <f>SUMIF('Exp Details'!$D$86:$D$94,'Function-Grant'!W$4,'Exp Details'!$H$86:$H$94)</f>
        <v>2200</v>
      </c>
      <c r="X77" s="39">
        <f>SUMIF('Exp Details'!$D$86:$D$94,'Function-Grant'!X$4,'Exp Details'!$H$86:$H$94)</f>
        <v>0</v>
      </c>
      <c r="Y77" s="39">
        <f>SUMIF('Exp Details'!$D$86:$D$94,'Function-Grant'!Y$4,'Exp Details'!$H$86:$H$94)</f>
        <v>0</v>
      </c>
      <c r="Z77" s="39">
        <f>SUMIF('Exp Details'!$D$86:$D$94,'Function-Grant'!Z$4,'Exp Details'!$H$86:$H$94)</f>
        <v>0</v>
      </c>
      <c r="AA77" s="39">
        <f>SUMIF('Exp Details'!$D$86:$D$94,'Function-Grant'!AA$4,'Exp Details'!$H$86:$H$94)</f>
        <v>0</v>
      </c>
      <c r="AB77" s="39">
        <f>SUMIF('Exp Details'!$D$86:$D$94,'Function-Grant'!AB$4,'Exp Details'!$H$86:$H$94)</f>
        <v>0</v>
      </c>
      <c r="AC77" s="39">
        <f>SUMIF('Exp Details'!$D$86:$D$94,'Function-Grant'!AC$4,'Exp Details'!$H$86:$H$94)</f>
        <v>0</v>
      </c>
      <c r="AD77" s="39">
        <f>SUMIF('Exp Details'!$D$86:$D$94,'Function-Grant'!AD$4,'Exp Details'!$H$86:$H$94)</f>
        <v>0</v>
      </c>
      <c r="AE77" s="39">
        <f>SUMIF('Exp Details'!$D$86:$D$94,'Function-Grant'!AE$4,'Exp Details'!$H$86:$H$94)</f>
        <v>0</v>
      </c>
      <c r="AF77" s="39">
        <f>SUMIF('Exp Details'!$D$86:$D$94,'Function-Grant'!AF$4,'Exp Details'!$H$86:$H$94)</f>
        <v>0</v>
      </c>
      <c r="AG77" s="39">
        <f>SUMIF('Exp Details'!$D$86:$D$94,'Function-Grant'!AG$4,'Exp Details'!$H$86:$H$94)</f>
        <v>0</v>
      </c>
      <c r="AH77" s="39">
        <f>SUMIF('Exp Details'!$D$86:$D$94,'Function-Grant'!AH$4,'Exp Details'!$H$86:$H$94)</f>
        <v>0</v>
      </c>
      <c r="AI77" s="39">
        <f>SUMIF('Exp Details'!$D$86:$D$94,'Function-Grant'!AI$4,'Exp Details'!$H$86:$H$94)</f>
        <v>0</v>
      </c>
      <c r="AJ77" s="39">
        <f>SUMIF('Exp Details'!$D$86:$D$94,'Function-Grant'!AJ$4,'Exp Details'!$H$86:$H$94)</f>
        <v>0</v>
      </c>
      <c r="AK77" s="39">
        <f>SUMIF('Exp Details'!$D$86:$D$94,'Function-Grant'!AK$4,'Exp Details'!$H$86:$H$94)</f>
        <v>0</v>
      </c>
      <c r="AL77" s="39">
        <f>SUMIF('Exp Details'!$D$86:$D$94,'Function-Grant'!AL$4,'Exp Details'!$H$86:$H$94)</f>
        <v>0</v>
      </c>
      <c r="AM77" s="39">
        <f>SUMIF('Exp Details'!$D$86:$D$94,'Function-Grant'!AM$4,'Exp Details'!$H$86:$H$94)</f>
        <v>0</v>
      </c>
      <c r="AN77" s="41"/>
      <c r="AO77" s="59">
        <f>SUM(E77:AN77)</f>
        <v>11300</v>
      </c>
      <c r="AP77" s="41"/>
      <c r="AQ77" s="260">
        <f>AO77-'FY21'!S77</f>
        <v>0</v>
      </c>
    </row>
    <row r="78" spans="3:43" s="37" customFormat="1" ht="12" x14ac:dyDescent="0.2">
      <c r="C78" s="200">
        <v>6430</v>
      </c>
      <c r="D78" s="37" t="s">
        <v>21</v>
      </c>
      <c r="E78" s="39">
        <f>SUMIF('Exp Details'!$D$98:$D$110,'Function-Grant'!E$4,'Exp Details'!$H$98:$H$110)</f>
        <v>0</v>
      </c>
      <c r="F78" s="39">
        <f>SUMIF('Exp Details'!$D$98:$D$110,'Function-Grant'!F$4,'Exp Details'!$H$98:$H$110)</f>
        <v>0</v>
      </c>
      <c r="G78" s="39">
        <f>SUMIF('Exp Details'!$D$98:$D$110,'Function-Grant'!G$4,'Exp Details'!$H$98:$H$110)</f>
        <v>0</v>
      </c>
      <c r="H78" s="39">
        <f>SUMIF('Exp Details'!$D$98:$D$110,'Function-Grant'!H$4,'Exp Details'!$H$98:$H$110)</f>
        <v>0</v>
      </c>
      <c r="I78" s="39">
        <f>SUMIF('Exp Details'!$D$98:$D$110,'Function-Grant'!I$4,'Exp Details'!$H$98:$H$110)</f>
        <v>0</v>
      </c>
      <c r="J78" s="39">
        <f>SUMIF('Exp Details'!$D$98:$D$110,'Function-Grant'!J$4,'Exp Details'!$H$98:$H$110)</f>
        <v>0</v>
      </c>
      <c r="K78" s="39">
        <f>SUMIF('Exp Details'!$D$98:$D$110,'Function-Grant'!K$4,'Exp Details'!$H$98:$H$110)</f>
        <v>0</v>
      </c>
      <c r="L78" s="39">
        <f>SUMIF('Exp Details'!$D$98:$D$110,'Function-Grant'!L$4,'Exp Details'!$H$98:$H$110)</f>
        <v>0</v>
      </c>
      <c r="M78" s="39">
        <f>SUMIF('Exp Details'!$D$98:$D$110,'Function-Grant'!M$4,'Exp Details'!$H$98:$H$110)</f>
        <v>0</v>
      </c>
      <c r="N78" s="39">
        <f>SUMIF('Exp Details'!$D$98:$D$110,'Function-Grant'!N$4,'Exp Details'!$H$98:$H$110)</f>
        <v>0</v>
      </c>
      <c r="O78" s="39">
        <f>SUMIF('Exp Details'!$D$98:$D$110,'Function-Grant'!O$4,'Exp Details'!$H$98:$H$110)</f>
        <v>0</v>
      </c>
      <c r="P78" s="39">
        <f>SUMIF('Exp Details'!$D$98:$D$110,'Function-Grant'!P$4,'Exp Details'!$H$98:$H$110)</f>
        <v>0</v>
      </c>
      <c r="Q78" s="39">
        <f>SUMIF('Exp Details'!$D$98:$D$110,'Function-Grant'!Q$4,'Exp Details'!$H$98:$H$110)</f>
        <v>0</v>
      </c>
      <c r="R78" s="39">
        <f>SUMIF('Exp Details'!$D$98:$D$110,'Function-Grant'!R$4,'Exp Details'!$H$98:$H$110)</f>
        <v>0</v>
      </c>
      <c r="S78" s="39">
        <f>SUMIF('Exp Details'!$D$98:$D$110,'Function-Grant'!S$4,'Exp Details'!$H$98:$H$110)</f>
        <v>0</v>
      </c>
      <c r="T78" s="39">
        <f>SUMIF('Exp Details'!$D$98:$D$110,'Function-Grant'!T$4,'Exp Details'!$H$98:$H$110)</f>
        <v>0</v>
      </c>
      <c r="U78" s="39">
        <f>SUMIF('Exp Details'!$D$98:$D$110,'Function-Grant'!U$4,'Exp Details'!$H$98:$H$110)</f>
        <v>0</v>
      </c>
      <c r="V78" s="371">
        <f>SUMIF('Exp Details'!$D$98:$D$110,'Function-Grant'!V$4,'Exp Details'!$H$98:$H$110)</f>
        <v>57305</v>
      </c>
      <c r="W78" s="39">
        <f>SUMIF('Exp Details'!$D$98:$D$110,'Function-Grant'!W$4,'Exp Details'!$H$98:$H$110)</f>
        <v>0</v>
      </c>
      <c r="X78" s="39">
        <f>SUMIF('Exp Details'!$D$98:$D$110,'Function-Grant'!X$4,'Exp Details'!$H$98:$H$110)</f>
        <v>0</v>
      </c>
      <c r="Y78" s="39">
        <f>SUMIF('Exp Details'!$D$98:$D$110,'Function-Grant'!Y$4,'Exp Details'!$H$98:$H$110)</f>
        <v>0</v>
      </c>
      <c r="Z78" s="39">
        <f>SUMIF('Exp Details'!$D$98:$D$110,'Function-Grant'!Z$4,'Exp Details'!$H$98:$H$110)</f>
        <v>0</v>
      </c>
      <c r="AA78" s="39">
        <f>SUMIF('Exp Details'!$D$98:$D$110,'Function-Grant'!AA$4,'Exp Details'!$H$98:$H$110)</f>
        <v>0</v>
      </c>
      <c r="AB78" s="39">
        <f>SUMIF('Exp Details'!$D$98:$D$110,'Function-Grant'!AB$4,'Exp Details'!$H$98:$H$110)</f>
        <v>0</v>
      </c>
      <c r="AC78" s="39">
        <f>SUMIF('Exp Details'!$D$98:$D$110,'Function-Grant'!AC$4,'Exp Details'!$H$98:$H$110)</f>
        <v>0</v>
      </c>
      <c r="AD78" s="39">
        <f>SUMIF('Exp Details'!$D$98:$D$110,'Function-Grant'!AD$4,'Exp Details'!$H$98:$H$110)</f>
        <v>0</v>
      </c>
      <c r="AE78" s="39">
        <f>SUMIF('Exp Details'!$D$98:$D$110,'Function-Grant'!AE$4,'Exp Details'!$H$98:$H$110)</f>
        <v>0</v>
      </c>
      <c r="AF78" s="39">
        <f>SUMIF('Exp Details'!$D$98:$D$110,'Function-Grant'!AF$4,'Exp Details'!$H$98:$H$110)</f>
        <v>0</v>
      </c>
      <c r="AG78" s="39">
        <f>SUMIF('Exp Details'!$D$98:$D$110,'Function-Grant'!AG$4,'Exp Details'!$H$98:$H$110)</f>
        <v>0</v>
      </c>
      <c r="AH78" s="39">
        <f>SUMIF('Exp Details'!$D$98:$D$110,'Function-Grant'!AH$4,'Exp Details'!$H$98:$H$110)</f>
        <v>0</v>
      </c>
      <c r="AI78" s="39">
        <f>SUMIF('Exp Details'!$D$98:$D$110,'Function-Grant'!AI$4,'Exp Details'!$H$98:$H$110)</f>
        <v>0</v>
      </c>
      <c r="AJ78" s="39">
        <f>SUMIF('Exp Details'!$D$98:$D$110,'Function-Grant'!AJ$4,'Exp Details'!$H$98:$H$110)</f>
        <v>0</v>
      </c>
      <c r="AK78" s="39">
        <f>SUMIF('Exp Details'!$D$98:$D$110,'Function-Grant'!AK$4,'Exp Details'!$H$98:$H$110)</f>
        <v>0</v>
      </c>
      <c r="AL78" s="39">
        <f>SUMIF('Exp Details'!$D$98:$D$110,'Function-Grant'!AL$4,'Exp Details'!$H$98:$H$110)</f>
        <v>0</v>
      </c>
      <c r="AM78" s="39">
        <f>SUMIF('Exp Details'!$D$98:$D$110,'Function-Grant'!AM$4,'Exp Details'!$H$98:$H$110)</f>
        <v>0</v>
      </c>
      <c r="AN78" s="41"/>
      <c r="AO78" s="59">
        <f>SUM(E78:AN78)</f>
        <v>57305</v>
      </c>
      <c r="AP78" s="41"/>
      <c r="AQ78" s="260">
        <f>AO78-'FY21'!S78</f>
        <v>0</v>
      </c>
    </row>
    <row r="79" spans="3:43" s="37" customFormat="1" ht="12" x14ac:dyDescent="0.2">
      <c r="C79" s="200">
        <v>6441</v>
      </c>
      <c r="D79" s="37" t="s">
        <v>22</v>
      </c>
      <c r="E79" s="39">
        <f>SUMIF('Exp Details'!$D$114:$D$117,'Function-Grant'!E$4,'Exp Details'!$H$114:$H$117)</f>
        <v>0</v>
      </c>
      <c r="F79" s="371">
        <f>SUMIF('Exp Details'!$D$114:$D$117,'Function-Grant'!F$4,'Exp Details'!$H$114:$H$117)</f>
        <v>2000</v>
      </c>
      <c r="G79" s="39">
        <f>SUMIF('Exp Details'!$D$114:$D$117,'Function-Grant'!G$4,'Exp Details'!$H$114:$H$117)</f>
        <v>0</v>
      </c>
      <c r="H79" s="39">
        <f>SUMIF('Exp Details'!$D$114:$D$117,'Function-Grant'!H$4,'Exp Details'!$H$114:$H$117)</f>
        <v>0</v>
      </c>
      <c r="I79" s="39">
        <f>SUMIF('Exp Details'!$D$114:$D$117,'Function-Grant'!I$4,'Exp Details'!$H$114:$H$117)</f>
        <v>0</v>
      </c>
      <c r="J79" s="39">
        <f>SUMIF('Exp Details'!$D$114:$D$117,'Function-Grant'!J$4,'Exp Details'!$H$114:$H$117)</f>
        <v>0</v>
      </c>
      <c r="K79" s="39">
        <f>SUMIF('Exp Details'!$D$114:$D$117,'Function-Grant'!K$4,'Exp Details'!$H$114:$H$117)</f>
        <v>0</v>
      </c>
      <c r="L79" s="39">
        <f>SUMIF('Exp Details'!$D$114:$D$117,'Function-Grant'!L$4,'Exp Details'!$H$114:$H$117)</f>
        <v>0</v>
      </c>
      <c r="M79" s="39">
        <f>SUMIF('Exp Details'!$D$114:$D$117,'Function-Grant'!M$4,'Exp Details'!$H$114:$H$117)</f>
        <v>0</v>
      </c>
      <c r="N79" s="39">
        <f>SUMIF('Exp Details'!$D$114:$D$117,'Function-Grant'!N$4,'Exp Details'!$H$114:$H$117)</f>
        <v>0</v>
      </c>
      <c r="O79" s="39">
        <f>SUMIF('Exp Details'!$D$114:$D$117,'Function-Grant'!O$4,'Exp Details'!$H$114:$H$117)</f>
        <v>0</v>
      </c>
      <c r="P79" s="39">
        <f>SUMIF('Exp Details'!$D$114:$D$117,'Function-Grant'!P$4,'Exp Details'!$H$114:$H$117)</f>
        <v>0</v>
      </c>
      <c r="Q79" s="39">
        <f>SUMIF('Exp Details'!$D$114:$D$117,'Function-Grant'!Q$4,'Exp Details'!$H$114:$H$117)</f>
        <v>0</v>
      </c>
      <c r="R79" s="39">
        <f>SUMIF('Exp Details'!$D$114:$D$117,'Function-Grant'!R$4,'Exp Details'!$H$114:$H$117)</f>
        <v>0</v>
      </c>
      <c r="S79" s="39">
        <f>SUMIF('Exp Details'!$D$114:$D$117,'Function-Grant'!S$4,'Exp Details'!$H$114:$H$117)</f>
        <v>0</v>
      </c>
      <c r="T79" s="371">
        <f>SUMIF('Exp Details'!$D$114:$D$117,'Function-Grant'!T$4,'Exp Details'!$H$114:$H$117)</f>
        <v>111776.79999999997</v>
      </c>
      <c r="U79" s="39">
        <f>SUMIF('Exp Details'!$D$114:$D$117,'Function-Grant'!U$4,'Exp Details'!$H$114:$H$117)</f>
        <v>0</v>
      </c>
      <c r="V79" s="39">
        <f>SUMIF('Exp Details'!$D$114:$D$117,'Function-Grant'!V$4,'Exp Details'!$H$114:$H$117)</f>
        <v>0</v>
      </c>
      <c r="W79" s="39">
        <f>SUMIF('Exp Details'!$D$114:$D$117,'Function-Grant'!W$4,'Exp Details'!$H$114:$H$117)</f>
        <v>0</v>
      </c>
      <c r="X79" s="39">
        <f>SUMIF('Exp Details'!$D$114:$D$117,'Function-Grant'!X$4,'Exp Details'!$H$114:$H$117)</f>
        <v>0</v>
      </c>
      <c r="Y79" s="39">
        <f>SUMIF('Exp Details'!$D$114:$D$117,'Function-Grant'!Y$4,'Exp Details'!$H$114:$H$117)</f>
        <v>0</v>
      </c>
      <c r="Z79" s="39">
        <f>SUMIF('Exp Details'!$D$114:$D$117,'Function-Grant'!Z$4,'Exp Details'!$H$114:$H$117)</f>
        <v>0</v>
      </c>
      <c r="AA79" s="39">
        <f>SUMIF('Exp Details'!$D$114:$D$117,'Function-Grant'!AA$4,'Exp Details'!$H$114:$H$117)</f>
        <v>0</v>
      </c>
      <c r="AB79" s="39">
        <f>SUMIF('Exp Details'!$D$114:$D$117,'Function-Grant'!AB$4,'Exp Details'!$H$114:$H$117)</f>
        <v>0</v>
      </c>
      <c r="AC79" s="39">
        <f>SUMIF('Exp Details'!$D$114:$D$117,'Function-Grant'!AC$4,'Exp Details'!$H$114:$H$117)</f>
        <v>0</v>
      </c>
      <c r="AD79" s="39">
        <f>SUMIF('Exp Details'!$D$114:$D$117,'Function-Grant'!AD$4,'Exp Details'!$H$114:$H$117)</f>
        <v>0</v>
      </c>
      <c r="AE79" s="39">
        <f>SUMIF('Exp Details'!$D$114:$D$117,'Function-Grant'!AE$4,'Exp Details'!$H$114:$H$117)</f>
        <v>0</v>
      </c>
      <c r="AF79" s="39">
        <f>SUMIF('Exp Details'!$D$114:$D$117,'Function-Grant'!AF$4,'Exp Details'!$H$114:$H$117)</f>
        <v>0</v>
      </c>
      <c r="AG79" s="39">
        <f>SUMIF('Exp Details'!$D$114:$D$117,'Function-Grant'!AG$4,'Exp Details'!$H$114:$H$117)</f>
        <v>0</v>
      </c>
      <c r="AH79" s="39">
        <f>SUMIF('Exp Details'!$D$114:$D$117,'Function-Grant'!AH$4,'Exp Details'!$H$114:$H$117)</f>
        <v>0</v>
      </c>
      <c r="AI79" s="39">
        <f>SUMIF('Exp Details'!$D$114:$D$117,'Function-Grant'!AI$4,'Exp Details'!$H$114:$H$117)</f>
        <v>0</v>
      </c>
      <c r="AJ79" s="39">
        <f>SUMIF('Exp Details'!$D$114:$D$117,'Function-Grant'!AJ$4,'Exp Details'!$H$114:$H$117)</f>
        <v>0</v>
      </c>
      <c r="AK79" s="39">
        <f>SUMIF('Exp Details'!$D$114:$D$117,'Function-Grant'!AK$4,'Exp Details'!$H$114:$H$117)</f>
        <v>0</v>
      </c>
      <c r="AL79" s="39">
        <f>SUMIF('Exp Details'!$D$114:$D$117,'Function-Grant'!AL$4,'Exp Details'!$H$114:$H$117)</f>
        <v>0</v>
      </c>
      <c r="AM79" s="39">
        <f>SUMIF('Exp Details'!$D$114:$D$117,'Function-Grant'!AM$4,'Exp Details'!$H$114:$H$117)</f>
        <v>0</v>
      </c>
      <c r="AN79" s="41"/>
      <c r="AO79" s="59">
        <f>SUM(E79:AN79)</f>
        <v>113776.79999999997</v>
      </c>
      <c r="AP79" s="41"/>
      <c r="AQ79" s="260">
        <f>AO79-'FY21'!S79</f>
        <v>0</v>
      </c>
    </row>
    <row r="80" spans="3:43" s="37" customFormat="1" ht="12" x14ac:dyDescent="0.2">
      <c r="C80" s="38"/>
      <c r="E80" s="50">
        <f t="shared" ref="E80:AM80" si="32">SUBTOTAL(9,E76:E79)</f>
        <v>0</v>
      </c>
      <c r="F80" s="50">
        <f>SUBTOTAL(9,F76:F79)</f>
        <v>2000</v>
      </c>
      <c r="G80" s="50">
        <f>SUBTOTAL(9,G76:G79)</f>
        <v>0</v>
      </c>
      <c r="H80" s="50">
        <f t="shared" si="32"/>
        <v>0</v>
      </c>
      <c r="I80" s="50">
        <f t="shared" si="32"/>
        <v>0</v>
      </c>
      <c r="J80" s="50">
        <f t="shared" si="32"/>
        <v>0</v>
      </c>
      <c r="K80" s="50">
        <f t="shared" si="32"/>
        <v>0</v>
      </c>
      <c r="L80" s="50">
        <f t="shared" si="32"/>
        <v>0</v>
      </c>
      <c r="M80" s="50">
        <f t="shared" si="32"/>
        <v>0</v>
      </c>
      <c r="N80" s="50">
        <f t="shared" si="32"/>
        <v>0</v>
      </c>
      <c r="O80" s="50">
        <f t="shared" si="32"/>
        <v>0</v>
      </c>
      <c r="P80" s="50">
        <f t="shared" ref="P80" si="33">SUBTOTAL(9,P76:P79)</f>
        <v>0</v>
      </c>
      <c r="Q80" s="50">
        <f t="shared" si="32"/>
        <v>0</v>
      </c>
      <c r="R80" s="50">
        <f t="shared" ref="R80:AH80" si="34">SUBTOTAL(9,R76:R79)</f>
        <v>0</v>
      </c>
      <c r="S80" s="50">
        <f t="shared" si="34"/>
        <v>0</v>
      </c>
      <c r="T80" s="50">
        <f t="shared" si="34"/>
        <v>111776.79999999997</v>
      </c>
      <c r="U80" s="50">
        <f t="shared" si="34"/>
        <v>2400</v>
      </c>
      <c r="V80" s="50">
        <f t="shared" si="34"/>
        <v>66405</v>
      </c>
      <c r="W80" s="50">
        <f t="shared" ref="W80" si="35">SUBTOTAL(9,W76:W79)</f>
        <v>2200</v>
      </c>
      <c r="X80" s="50">
        <f t="shared" si="34"/>
        <v>0</v>
      </c>
      <c r="Y80" s="50">
        <f t="shared" si="34"/>
        <v>0</v>
      </c>
      <c r="Z80" s="50">
        <f t="shared" si="34"/>
        <v>0</v>
      </c>
      <c r="AA80" s="50">
        <f t="shared" si="34"/>
        <v>0</v>
      </c>
      <c r="AB80" s="50">
        <f t="shared" si="34"/>
        <v>0</v>
      </c>
      <c r="AC80" s="50">
        <f t="shared" si="34"/>
        <v>0</v>
      </c>
      <c r="AD80" s="50">
        <f t="shared" si="34"/>
        <v>0</v>
      </c>
      <c r="AE80" s="50">
        <f t="shared" si="34"/>
        <v>0</v>
      </c>
      <c r="AF80" s="50">
        <f t="shared" si="34"/>
        <v>0</v>
      </c>
      <c r="AG80" s="50">
        <f t="shared" si="34"/>
        <v>0</v>
      </c>
      <c r="AH80" s="50">
        <f t="shared" si="34"/>
        <v>0</v>
      </c>
      <c r="AI80" s="50">
        <f t="shared" si="32"/>
        <v>0</v>
      </c>
      <c r="AJ80" s="50">
        <f t="shared" si="32"/>
        <v>0</v>
      </c>
      <c r="AK80" s="50">
        <f t="shared" si="32"/>
        <v>0</v>
      </c>
      <c r="AL80" s="50">
        <f t="shared" si="32"/>
        <v>0</v>
      </c>
      <c r="AM80" s="50">
        <f t="shared" si="32"/>
        <v>0</v>
      </c>
      <c r="AN80" s="41"/>
      <c r="AO80" s="61">
        <f t="shared" ref="AO80" si="36">SUBTOTAL(9,AO76:AO79)</f>
        <v>184781.8</v>
      </c>
      <c r="AP80" s="41"/>
      <c r="AQ80" s="260">
        <f>AO80-'FY21'!S80</f>
        <v>0</v>
      </c>
    </row>
    <row r="81" spans="3:4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41"/>
      <c r="AO81" s="59"/>
      <c r="AP81" s="41"/>
      <c r="AQ81" s="260">
        <f>AO81-'FY21'!S81</f>
        <v>0</v>
      </c>
    </row>
    <row r="82" spans="3:43" s="37" customFormat="1" ht="12" x14ac:dyDescent="0.2">
      <c r="C82" s="200">
        <v>6519</v>
      </c>
      <c r="D82" s="37" t="s">
        <v>234</v>
      </c>
      <c r="E82" s="39">
        <f>SUMIF('Exp Details'!$D$122:$D$125,'Function-Grant'!E$4,'Exp Details'!$H$122:$H$125)</f>
        <v>0</v>
      </c>
      <c r="F82" s="39">
        <f>SUMIF('Exp Details'!$D$122:$D$125,'Function-Grant'!F$4,'Exp Details'!$H$122:$H$125)</f>
        <v>0</v>
      </c>
      <c r="G82" s="39">
        <f>SUMIF('Exp Details'!$D$122:$D$125,'Function-Grant'!G$4,'Exp Details'!$H$122:$H$125)</f>
        <v>0</v>
      </c>
      <c r="H82" s="39">
        <f>SUMIF('Exp Details'!$D$122:$D$125,'Function-Grant'!H$4,'Exp Details'!$H$122:$H$125)</f>
        <v>0</v>
      </c>
      <c r="I82" s="39">
        <f>SUMIF('Exp Details'!$D$122:$D$125,'Function-Grant'!I$4,'Exp Details'!$H$122:$H$125)</f>
        <v>0</v>
      </c>
      <c r="J82" s="39">
        <f>SUMIF('Exp Details'!$D$122:$D$125,'Function-Grant'!J$4,'Exp Details'!$H$122:$H$125)</f>
        <v>0</v>
      </c>
      <c r="K82" s="39">
        <f>SUMIF('Exp Details'!$D$122:$D$125,'Function-Grant'!K$4,'Exp Details'!$H$122:$H$125)</f>
        <v>0</v>
      </c>
      <c r="L82" s="39">
        <f>SUMIF('Exp Details'!$D$122:$D$125,'Function-Grant'!L$4,'Exp Details'!$H$122:$H$125)</f>
        <v>0</v>
      </c>
      <c r="M82" s="39">
        <f>SUMIF('Exp Details'!$D$122:$D$125,'Function-Grant'!M$4,'Exp Details'!$H$122:$H$125)</f>
        <v>0</v>
      </c>
      <c r="N82" s="39">
        <f>SUMIF('Exp Details'!$D$122:$D$125,'Function-Grant'!N$4,'Exp Details'!$H$122:$H$125)</f>
        <v>0</v>
      </c>
      <c r="O82" s="39">
        <f>SUMIF('Exp Details'!$D$122:$D$125,'Function-Grant'!O$4,'Exp Details'!$H$122:$H$125)</f>
        <v>0</v>
      </c>
      <c r="P82" s="39">
        <f>SUMIF('Exp Details'!$D$122:$D$125,'Function-Grant'!P$4,'Exp Details'!$H$122:$H$125)</f>
        <v>0</v>
      </c>
      <c r="Q82" s="39">
        <f>SUMIF('Exp Details'!$D$122:$D$125,'Function-Grant'!Q$4,'Exp Details'!$H$122:$H$125)</f>
        <v>0</v>
      </c>
      <c r="R82" s="39">
        <f>SUMIF('Exp Details'!$D$122:$D$125,'Function-Grant'!R$4,'Exp Details'!$H$122:$H$125)</f>
        <v>0</v>
      </c>
      <c r="S82" s="39">
        <f>SUMIF('Exp Details'!$D$122:$D$125,'Function-Grant'!S$4,'Exp Details'!$H$122:$H$125)</f>
        <v>0</v>
      </c>
      <c r="T82" s="39">
        <f>SUMIF('Exp Details'!$D$122:$D$125,'Function-Grant'!T$4,'Exp Details'!$H$122:$H$125)</f>
        <v>0</v>
      </c>
      <c r="U82" s="39">
        <f>SUMIF('Exp Details'!$D$122:$D$125,'Function-Grant'!U$4,'Exp Details'!$H$122:$H$125)</f>
        <v>0</v>
      </c>
      <c r="V82" s="39">
        <f>SUMIF('Exp Details'!$D$122:$D$125,'Function-Grant'!V$4,'Exp Details'!$H$122:$H$125)</f>
        <v>0</v>
      </c>
      <c r="W82" s="39">
        <f>SUMIF('Exp Details'!$D$122:$D$125,'Function-Grant'!W$4,'Exp Details'!$H$122:$H$125)</f>
        <v>0</v>
      </c>
      <c r="X82" s="371">
        <f>SUMIF('Exp Details'!$D$122:$D$125,'Function-Grant'!X$4,'Exp Details'!$H$122:$H$125)</f>
        <v>400</v>
      </c>
      <c r="Y82" s="39">
        <f>SUMIF('Exp Details'!$D$122:$D$125,'Function-Grant'!Y$4,'Exp Details'!$H$122:$H$125)</f>
        <v>0</v>
      </c>
      <c r="Z82" s="39">
        <f>SUMIF('Exp Details'!$D$122:$D$125,'Function-Grant'!Z$4,'Exp Details'!$H$122:$H$125)</f>
        <v>0</v>
      </c>
      <c r="AA82" s="39">
        <f>SUMIF('Exp Details'!$D$122:$D$125,'Function-Grant'!AA$4,'Exp Details'!$H$122:$H$125)</f>
        <v>0</v>
      </c>
      <c r="AB82" s="39">
        <f>SUMIF('Exp Details'!$D$122:$D$125,'Function-Grant'!AB$4,'Exp Details'!$H$122:$H$125)</f>
        <v>0</v>
      </c>
      <c r="AC82" s="39">
        <f>SUMIF('Exp Details'!$D$122:$D$125,'Function-Grant'!AC$4,'Exp Details'!$H$122:$H$125)</f>
        <v>0</v>
      </c>
      <c r="AD82" s="39">
        <f>SUMIF('Exp Details'!$D$122:$D$125,'Function-Grant'!AD$4,'Exp Details'!$H$122:$H$125)</f>
        <v>0</v>
      </c>
      <c r="AE82" s="39">
        <f>SUMIF('Exp Details'!$D$122:$D$125,'Function-Grant'!AE$4,'Exp Details'!$H$122:$H$125)</f>
        <v>0</v>
      </c>
      <c r="AF82" s="39">
        <f>SUMIF('Exp Details'!$D$122:$D$125,'Function-Grant'!AF$4,'Exp Details'!$H$122:$H$125)</f>
        <v>0</v>
      </c>
      <c r="AG82" s="39">
        <f>SUMIF('Exp Details'!$D$122:$D$125,'Function-Grant'!AG$4,'Exp Details'!$H$122:$H$125)</f>
        <v>0</v>
      </c>
      <c r="AH82" s="39">
        <f>SUMIF('Exp Details'!$D$122:$D$125,'Function-Grant'!AH$4,'Exp Details'!$H$122:$H$125)</f>
        <v>0</v>
      </c>
      <c r="AI82" s="39">
        <f>SUMIF('Exp Details'!$D$122:$D$125,'Function-Grant'!AI$4,'Exp Details'!$H$122:$H$125)</f>
        <v>0</v>
      </c>
      <c r="AJ82" s="39">
        <f>SUMIF('Exp Details'!$D$122:$D$125,'Function-Grant'!AJ$4,'Exp Details'!$H$122:$H$125)</f>
        <v>0</v>
      </c>
      <c r="AK82" s="39">
        <f>SUMIF('Exp Details'!$D$122:$D$125,'Function-Grant'!AK$4,'Exp Details'!$H$122:$H$125)</f>
        <v>0</v>
      </c>
      <c r="AL82" s="39">
        <f>SUMIF('Exp Details'!$D$122:$D$125,'Function-Grant'!AL$4,'Exp Details'!$H$122:$H$125)</f>
        <v>0</v>
      </c>
      <c r="AM82" s="39">
        <f>SUMIF('Exp Details'!$D$122:$D$125,'Function-Grant'!AM$4,'Exp Details'!$H$122:$H$125)</f>
        <v>0</v>
      </c>
      <c r="AN82" s="41"/>
      <c r="AO82" s="59">
        <f t="shared" ref="AO82:AO93" si="37">SUM(E82:AN82)</f>
        <v>400</v>
      </c>
      <c r="AP82" s="41"/>
      <c r="AQ82" s="260">
        <f>AO82-'FY21'!S82</f>
        <v>0</v>
      </c>
    </row>
    <row r="83" spans="3:43" s="37" customFormat="1" ht="12" x14ac:dyDescent="0.2">
      <c r="C83" s="200">
        <v>6521</v>
      </c>
      <c r="D83" s="37" t="s">
        <v>24</v>
      </c>
      <c r="E83" s="39">
        <f>SUMIF('Exp Details'!$D$129:$D$134,'Function-Grant'!E$4,'Exp Details'!$H$129:$H$134)</f>
        <v>0</v>
      </c>
      <c r="F83" s="371">
        <f>SUMIF('Exp Details'!$D$129:$D$134,'Function-Grant'!F$4,'Exp Details'!$H$129:$H$134)</f>
        <v>3800</v>
      </c>
      <c r="G83" s="39">
        <f>SUMIF('Exp Details'!$D$129:$D$134,'Function-Grant'!G$4,'Exp Details'!$H$129:$H$134)</f>
        <v>0</v>
      </c>
      <c r="H83" s="39">
        <f>SUMIF('Exp Details'!$D$129:$D$134,'Function-Grant'!H$4,'Exp Details'!$H$129:$H$134)</f>
        <v>0</v>
      </c>
      <c r="I83" s="39">
        <f>SUMIF('Exp Details'!$D$129:$D$134,'Function-Grant'!I$4,'Exp Details'!$H$129:$H$134)</f>
        <v>0</v>
      </c>
      <c r="J83" s="39">
        <f>SUMIF('Exp Details'!$D$129:$D$134,'Function-Grant'!J$4,'Exp Details'!$H$129:$H$134)</f>
        <v>0</v>
      </c>
      <c r="K83" s="39">
        <f>SUMIF('Exp Details'!$D$129:$D$134,'Function-Grant'!K$4,'Exp Details'!$H$129:$H$134)</f>
        <v>0</v>
      </c>
      <c r="L83" s="39">
        <f>SUMIF('Exp Details'!$D$129:$D$134,'Function-Grant'!L$4,'Exp Details'!$H$129:$H$134)</f>
        <v>0</v>
      </c>
      <c r="M83" s="39">
        <f>SUMIF('Exp Details'!$D$129:$D$134,'Function-Grant'!M$4,'Exp Details'!$H$129:$H$134)</f>
        <v>0</v>
      </c>
      <c r="N83" s="39">
        <f>SUMIF('Exp Details'!$D$129:$D$134,'Function-Grant'!N$4,'Exp Details'!$H$129:$H$134)</f>
        <v>0</v>
      </c>
      <c r="O83" s="39">
        <f>SUMIF('Exp Details'!$D$129:$D$134,'Function-Grant'!O$4,'Exp Details'!$H$129:$H$134)</f>
        <v>0</v>
      </c>
      <c r="P83" s="39">
        <f>SUMIF('Exp Details'!$D$129:$D$134,'Function-Grant'!P$4,'Exp Details'!$H$129:$H$134)</f>
        <v>0</v>
      </c>
      <c r="Q83" s="39">
        <f>SUMIF('Exp Details'!$D$129:$D$134,'Function-Grant'!Q$4,'Exp Details'!$H$129:$H$134)</f>
        <v>0</v>
      </c>
      <c r="R83" s="39">
        <f>SUMIF('Exp Details'!$D$129:$D$134,'Function-Grant'!R$4,'Exp Details'!$H$129:$H$134)</f>
        <v>0</v>
      </c>
      <c r="S83" s="39">
        <f>SUMIF('Exp Details'!$D$129:$D$134,'Function-Grant'!S$4,'Exp Details'!$H$129:$H$134)</f>
        <v>0</v>
      </c>
      <c r="T83" s="39">
        <f>SUMIF('Exp Details'!$D$129:$D$134,'Function-Grant'!T$4,'Exp Details'!$H$129:$H$134)</f>
        <v>0</v>
      </c>
      <c r="U83" s="39">
        <f>SUMIF('Exp Details'!$D$129:$D$134,'Function-Grant'!U$4,'Exp Details'!$H$129:$H$134)</f>
        <v>0</v>
      </c>
      <c r="V83" s="39">
        <f>SUMIF('Exp Details'!$D$129:$D$134,'Function-Grant'!V$4,'Exp Details'!$H$129:$H$134)</f>
        <v>0</v>
      </c>
      <c r="W83" s="39">
        <f>SUMIF('Exp Details'!$D$129:$D$134,'Function-Grant'!W$4,'Exp Details'!$H$129:$H$134)</f>
        <v>0</v>
      </c>
      <c r="X83" s="39">
        <f>SUMIF('Exp Details'!$D$129:$D$134,'Function-Grant'!X$4,'Exp Details'!$H$129:$H$134)</f>
        <v>0</v>
      </c>
      <c r="Y83" s="39">
        <f>SUMIF('Exp Details'!$D$129:$D$134,'Function-Grant'!Y$4,'Exp Details'!$H$129:$H$134)</f>
        <v>0</v>
      </c>
      <c r="Z83" s="39">
        <f>SUMIF('Exp Details'!$D$129:$D$134,'Function-Grant'!Z$4,'Exp Details'!$H$129:$H$134)</f>
        <v>0</v>
      </c>
      <c r="AA83" s="39">
        <f>SUMIF('Exp Details'!$D$129:$D$134,'Function-Grant'!AA$4,'Exp Details'!$H$129:$H$134)</f>
        <v>0</v>
      </c>
      <c r="AB83" s="39">
        <f>SUMIF('Exp Details'!$D$129:$D$134,'Function-Grant'!AB$4,'Exp Details'!$H$129:$H$134)</f>
        <v>0</v>
      </c>
      <c r="AC83" s="39">
        <f>SUMIF('Exp Details'!$D$129:$D$134,'Function-Grant'!AC$4,'Exp Details'!$H$129:$H$134)</f>
        <v>0</v>
      </c>
      <c r="AD83" s="39">
        <f>SUMIF('Exp Details'!$D$129:$D$134,'Function-Grant'!AD$4,'Exp Details'!$H$129:$H$134)</f>
        <v>0</v>
      </c>
      <c r="AE83" s="39">
        <f>SUMIF('Exp Details'!$D$129:$D$134,'Function-Grant'!AE$4,'Exp Details'!$H$129:$H$134)</f>
        <v>0</v>
      </c>
      <c r="AF83" s="39">
        <f>SUMIF('Exp Details'!$D$129:$D$134,'Function-Grant'!AF$4,'Exp Details'!$H$129:$H$134)</f>
        <v>0</v>
      </c>
      <c r="AG83" s="39">
        <f>SUMIF('Exp Details'!$D$129:$D$134,'Function-Grant'!AG$4,'Exp Details'!$H$129:$H$134)</f>
        <v>0</v>
      </c>
      <c r="AH83" s="39">
        <f>SUMIF('Exp Details'!$D$129:$D$134,'Function-Grant'!AH$4,'Exp Details'!$H$129:$H$134)</f>
        <v>0</v>
      </c>
      <c r="AI83" s="39">
        <f>SUMIF('Exp Details'!$D$129:$D$134,'Function-Grant'!AI$4,'Exp Details'!$H$129:$H$134)</f>
        <v>0</v>
      </c>
      <c r="AJ83" s="39">
        <f>SUMIF('Exp Details'!$D$129:$D$134,'Function-Grant'!AJ$4,'Exp Details'!$H$129:$H$134)</f>
        <v>0</v>
      </c>
      <c r="AK83" s="39">
        <f>SUMIF('Exp Details'!$D$129:$D$134,'Function-Grant'!AK$4,'Exp Details'!$H$129:$H$134)</f>
        <v>0</v>
      </c>
      <c r="AL83" s="39">
        <f>SUMIF('Exp Details'!$D$129:$D$134,'Function-Grant'!AL$4,'Exp Details'!$H$129:$H$134)</f>
        <v>0</v>
      </c>
      <c r="AM83" s="39">
        <f>SUMIF('Exp Details'!$D$129:$D$134,'Function-Grant'!AM$4,'Exp Details'!$H$129:$H$134)</f>
        <v>0</v>
      </c>
      <c r="AN83" s="41"/>
      <c r="AO83" s="59">
        <f t="shared" si="37"/>
        <v>3800</v>
      </c>
      <c r="AP83" s="41"/>
      <c r="AQ83" s="260">
        <f>AO83-'FY21'!S83</f>
        <v>0</v>
      </c>
    </row>
    <row r="84" spans="3:43" s="37" customFormat="1" ht="12" x14ac:dyDescent="0.2">
      <c r="C84" s="200">
        <v>6522</v>
      </c>
      <c r="D84" s="37" t="s">
        <v>25</v>
      </c>
      <c r="E84" s="39">
        <f>SUMIF('Exp Details'!$D$138:$D$143,'Function-Grant'!E$4,'Exp Details'!$H$138:$H$143)</f>
        <v>0</v>
      </c>
      <c r="F84" s="39">
        <f>SUMIF('Exp Details'!$D$138:$D$143,'Function-Grant'!F$4,'Exp Details'!$H$138:$H$143)</f>
        <v>0</v>
      </c>
      <c r="G84" s="39">
        <f>SUMIF('Exp Details'!$D$138:$D$143,'Function-Grant'!G$4,'Exp Details'!$H$138:$H$143)</f>
        <v>0</v>
      </c>
      <c r="H84" s="39">
        <f>SUMIF('Exp Details'!$D$138:$D$143,'Function-Grant'!H$4,'Exp Details'!$H$138:$H$143)</f>
        <v>0</v>
      </c>
      <c r="I84" s="39">
        <f>SUMIF('Exp Details'!$D$138:$D$143,'Function-Grant'!I$4,'Exp Details'!$H$138:$H$143)</f>
        <v>0</v>
      </c>
      <c r="J84" s="39">
        <f>SUMIF('Exp Details'!$D$138:$D$143,'Function-Grant'!J$4,'Exp Details'!$H$138:$H$143)</f>
        <v>0</v>
      </c>
      <c r="K84" s="39">
        <f>SUMIF('Exp Details'!$D$138:$D$143,'Function-Grant'!K$4,'Exp Details'!$H$138:$H$143)</f>
        <v>0</v>
      </c>
      <c r="L84" s="39">
        <f>SUMIF('Exp Details'!$D$138:$D$143,'Function-Grant'!L$4,'Exp Details'!$H$138:$H$143)</f>
        <v>0</v>
      </c>
      <c r="M84" s="39">
        <f>SUMIF('Exp Details'!$D$138:$D$143,'Function-Grant'!M$4,'Exp Details'!$H$138:$H$143)</f>
        <v>0</v>
      </c>
      <c r="N84" s="39">
        <f>SUMIF('Exp Details'!$D$138:$D$143,'Function-Grant'!N$4,'Exp Details'!$H$138:$H$143)</f>
        <v>0</v>
      </c>
      <c r="O84" s="39">
        <f>SUMIF('Exp Details'!$D$138:$D$143,'Function-Grant'!O$4,'Exp Details'!$H$138:$H$143)</f>
        <v>0</v>
      </c>
      <c r="P84" s="39">
        <f>SUMIF('Exp Details'!$D$138:$D$143,'Function-Grant'!P$4,'Exp Details'!$H$138:$H$143)</f>
        <v>0</v>
      </c>
      <c r="Q84" s="39">
        <f>SUMIF('Exp Details'!$D$138:$D$143,'Function-Grant'!Q$4,'Exp Details'!$H$138:$H$143)</f>
        <v>0</v>
      </c>
      <c r="R84" s="39">
        <f>SUMIF('Exp Details'!$D$138:$D$143,'Function-Grant'!R$4,'Exp Details'!$H$138:$H$143)</f>
        <v>0</v>
      </c>
      <c r="S84" s="39">
        <f>SUMIF('Exp Details'!$D$138:$D$143,'Function-Grant'!S$4,'Exp Details'!$H$138:$H$143)</f>
        <v>0</v>
      </c>
      <c r="T84" s="39">
        <f>SUMIF('Exp Details'!$D$138:$D$143,'Function-Grant'!T$4,'Exp Details'!$H$138:$H$143)</f>
        <v>0</v>
      </c>
      <c r="U84" s="39">
        <f>SUMIF('Exp Details'!$D$138:$D$143,'Function-Grant'!U$4,'Exp Details'!$H$138:$H$143)</f>
        <v>0</v>
      </c>
      <c r="V84" s="39">
        <f>SUMIF('Exp Details'!$D$138:$D$143,'Function-Grant'!V$4,'Exp Details'!$H$138:$H$143)</f>
        <v>0</v>
      </c>
      <c r="W84" s="39">
        <f>SUMIF('Exp Details'!$D$138:$D$143,'Function-Grant'!W$4,'Exp Details'!$H$138:$H$143)</f>
        <v>0</v>
      </c>
      <c r="X84" s="39">
        <f>SUMIF('Exp Details'!$D$138:$D$143,'Function-Grant'!X$4,'Exp Details'!$H$138:$H$143)</f>
        <v>0</v>
      </c>
      <c r="Y84" s="39">
        <f>SUMIF('Exp Details'!$D$138:$D$143,'Function-Grant'!Y$4,'Exp Details'!$H$138:$H$143)</f>
        <v>0</v>
      </c>
      <c r="Z84" s="39">
        <f>SUMIF('Exp Details'!$D$138:$D$143,'Function-Grant'!Z$4,'Exp Details'!$H$138:$H$143)</f>
        <v>0</v>
      </c>
      <c r="AA84" s="39">
        <f>SUMIF('Exp Details'!$D$138:$D$143,'Function-Grant'!AA$4,'Exp Details'!$H$138:$H$143)</f>
        <v>0</v>
      </c>
      <c r="AB84" s="39">
        <f>SUMIF('Exp Details'!$D$138:$D$143,'Function-Grant'!AB$4,'Exp Details'!$H$138:$H$143)</f>
        <v>0</v>
      </c>
      <c r="AC84" s="39">
        <f>SUMIF('Exp Details'!$D$138:$D$143,'Function-Grant'!AC$4,'Exp Details'!$H$138:$H$143)</f>
        <v>0</v>
      </c>
      <c r="AD84" s="39">
        <f>SUMIF('Exp Details'!$D$138:$D$143,'Function-Grant'!AD$4,'Exp Details'!$H$138:$H$143)</f>
        <v>0</v>
      </c>
      <c r="AE84" s="39">
        <f>SUMIF('Exp Details'!$D$138:$D$143,'Function-Grant'!AE$4,'Exp Details'!$H$138:$H$143)</f>
        <v>0</v>
      </c>
      <c r="AF84" s="39">
        <f>SUMIF('Exp Details'!$D$138:$D$143,'Function-Grant'!AF$4,'Exp Details'!$H$138:$H$143)</f>
        <v>0</v>
      </c>
      <c r="AG84" s="39">
        <f>SUMIF('Exp Details'!$D$138:$D$143,'Function-Grant'!AG$4,'Exp Details'!$H$138:$H$143)</f>
        <v>0</v>
      </c>
      <c r="AH84" s="39">
        <f>SUMIF('Exp Details'!$D$138:$D$143,'Function-Grant'!AH$4,'Exp Details'!$H$138:$H$143)</f>
        <v>0</v>
      </c>
      <c r="AI84" s="39">
        <f>SUMIF('Exp Details'!$D$138:$D$143,'Function-Grant'!AI$4,'Exp Details'!$H$138:$H$143)</f>
        <v>0</v>
      </c>
      <c r="AJ84" s="39">
        <f>SUMIF('Exp Details'!$D$138:$D$143,'Function-Grant'!AJ$4,'Exp Details'!$H$138:$H$143)</f>
        <v>0</v>
      </c>
      <c r="AK84" s="39">
        <f>SUMIF('Exp Details'!$D$138:$D$143,'Function-Grant'!AK$4,'Exp Details'!$H$138:$H$143)</f>
        <v>0</v>
      </c>
      <c r="AL84" s="39">
        <f>SUMIF('Exp Details'!$D$138:$D$143,'Function-Grant'!AL$4,'Exp Details'!$H$138:$H$143)</f>
        <v>0</v>
      </c>
      <c r="AM84" s="39">
        <f>SUMIF('Exp Details'!$D$138:$D$143,'Function-Grant'!AM$4,'Exp Details'!$H$138:$H$143)</f>
        <v>0</v>
      </c>
      <c r="AN84" s="41"/>
      <c r="AO84" s="59">
        <f t="shared" si="37"/>
        <v>0</v>
      </c>
      <c r="AP84" s="41"/>
      <c r="AQ84" s="260">
        <f>AO84-'FY21'!S84</f>
        <v>0</v>
      </c>
    </row>
    <row r="85" spans="3:43" s="37" customFormat="1" ht="12" x14ac:dyDescent="0.2">
      <c r="C85" s="200">
        <v>6523</v>
      </c>
      <c r="D85" s="37" t="s">
        <v>26</v>
      </c>
      <c r="E85" s="39">
        <f>SUMIF('Exp Details'!$D$147:$D$152,'Function-Grant'!E$4,'Exp Details'!$H$147:$H$152)</f>
        <v>0</v>
      </c>
      <c r="F85" s="39">
        <f>SUMIF('Exp Details'!$D$147:$D$152,'Function-Grant'!F$4,'Exp Details'!$H$147:$H$152)</f>
        <v>0</v>
      </c>
      <c r="G85" s="39">
        <f>SUMIF('Exp Details'!$D$147:$D$152,'Function-Grant'!G$4,'Exp Details'!$H$147:$H$152)</f>
        <v>0</v>
      </c>
      <c r="H85" s="39">
        <f>SUMIF('Exp Details'!$D$147:$D$152,'Function-Grant'!H$4,'Exp Details'!$H$147:$H$152)</f>
        <v>0</v>
      </c>
      <c r="I85" s="39">
        <f>SUMIF('Exp Details'!$D$147:$D$152,'Function-Grant'!I$4,'Exp Details'!$H$147:$H$152)</f>
        <v>0</v>
      </c>
      <c r="J85" s="39">
        <f>SUMIF('Exp Details'!$D$147:$D$152,'Function-Grant'!J$4,'Exp Details'!$H$147:$H$152)</f>
        <v>0</v>
      </c>
      <c r="K85" s="39">
        <f>SUMIF('Exp Details'!$D$147:$D$152,'Function-Grant'!K$4,'Exp Details'!$H$147:$H$152)</f>
        <v>0</v>
      </c>
      <c r="L85" s="39">
        <f>SUMIF('Exp Details'!$D$147:$D$152,'Function-Grant'!L$4,'Exp Details'!$H$147:$H$152)</f>
        <v>0</v>
      </c>
      <c r="M85" s="39">
        <f>SUMIF('Exp Details'!$D$147:$D$152,'Function-Grant'!M$4,'Exp Details'!$H$147:$H$152)</f>
        <v>0</v>
      </c>
      <c r="N85" s="39">
        <f>SUMIF('Exp Details'!$D$147:$D$152,'Function-Grant'!N$4,'Exp Details'!$H$147:$H$152)</f>
        <v>0</v>
      </c>
      <c r="O85" s="39">
        <f>SUMIF('Exp Details'!$D$147:$D$152,'Function-Grant'!O$4,'Exp Details'!$H$147:$H$152)</f>
        <v>0</v>
      </c>
      <c r="P85" s="39">
        <f>SUMIF('Exp Details'!$D$147:$D$152,'Function-Grant'!P$4,'Exp Details'!$H$147:$H$152)</f>
        <v>0</v>
      </c>
      <c r="Q85" s="39">
        <f>SUMIF('Exp Details'!$D$147:$D$152,'Function-Grant'!Q$4,'Exp Details'!$H$147:$H$152)</f>
        <v>0</v>
      </c>
      <c r="R85" s="39">
        <f>SUMIF('Exp Details'!$D$147:$D$152,'Function-Grant'!R$4,'Exp Details'!$H$147:$H$152)</f>
        <v>0</v>
      </c>
      <c r="S85" s="39">
        <f>SUMIF('Exp Details'!$D$147:$D$152,'Function-Grant'!S$4,'Exp Details'!$H$147:$H$152)</f>
        <v>0</v>
      </c>
      <c r="T85" s="39">
        <f>SUMIF('Exp Details'!$D$147:$D$152,'Function-Grant'!T$4,'Exp Details'!$H$147:$H$152)</f>
        <v>0</v>
      </c>
      <c r="U85" s="39">
        <f>SUMIF('Exp Details'!$D$147:$D$152,'Function-Grant'!U$4,'Exp Details'!$H$147:$H$152)</f>
        <v>0</v>
      </c>
      <c r="V85" s="39">
        <f>SUMIF('Exp Details'!$D$147:$D$152,'Function-Grant'!V$4,'Exp Details'!$H$147:$H$152)</f>
        <v>0</v>
      </c>
      <c r="W85" s="39">
        <f>SUMIF('Exp Details'!$D$147:$D$152,'Function-Grant'!W$4,'Exp Details'!$H$147:$H$152)</f>
        <v>0</v>
      </c>
      <c r="X85" s="39">
        <f>SUMIF('Exp Details'!$D$147:$D$152,'Function-Grant'!X$4,'Exp Details'!$H$147:$H$152)</f>
        <v>0</v>
      </c>
      <c r="Y85" s="39">
        <f>SUMIF('Exp Details'!$D$147:$D$152,'Function-Grant'!Y$4,'Exp Details'!$H$147:$H$152)</f>
        <v>0</v>
      </c>
      <c r="Z85" s="39">
        <f>SUMIF('Exp Details'!$D$147:$D$152,'Function-Grant'!Z$4,'Exp Details'!$H$147:$H$152)</f>
        <v>0</v>
      </c>
      <c r="AA85" s="39">
        <f>SUMIF('Exp Details'!$D$147:$D$152,'Function-Grant'!AA$4,'Exp Details'!$H$147:$H$152)</f>
        <v>0</v>
      </c>
      <c r="AB85" s="39">
        <f>SUMIF('Exp Details'!$D$147:$D$152,'Function-Grant'!AB$4,'Exp Details'!$H$147:$H$152)</f>
        <v>0</v>
      </c>
      <c r="AC85" s="39">
        <f>SUMIF('Exp Details'!$D$147:$D$152,'Function-Grant'!AC$4,'Exp Details'!$H$147:$H$152)</f>
        <v>0</v>
      </c>
      <c r="AD85" s="39">
        <f>SUMIF('Exp Details'!$D$147:$D$152,'Function-Grant'!AD$4,'Exp Details'!$H$147:$H$152)</f>
        <v>0</v>
      </c>
      <c r="AE85" s="39">
        <f>SUMIF('Exp Details'!$D$147:$D$152,'Function-Grant'!AE$4,'Exp Details'!$H$147:$H$152)</f>
        <v>0</v>
      </c>
      <c r="AF85" s="39">
        <f>SUMIF('Exp Details'!$D$147:$D$152,'Function-Grant'!AF$4,'Exp Details'!$H$147:$H$152)</f>
        <v>0</v>
      </c>
      <c r="AG85" s="39">
        <f>SUMIF('Exp Details'!$D$147:$D$152,'Function-Grant'!AG$4,'Exp Details'!$H$147:$H$152)</f>
        <v>0</v>
      </c>
      <c r="AH85" s="39">
        <f>SUMIF('Exp Details'!$D$147:$D$152,'Function-Grant'!AH$4,'Exp Details'!$H$147:$H$152)</f>
        <v>0</v>
      </c>
      <c r="AI85" s="39">
        <f>SUMIF('Exp Details'!$D$147:$D$152,'Function-Grant'!AI$4,'Exp Details'!$H$147:$H$152)</f>
        <v>0</v>
      </c>
      <c r="AJ85" s="39">
        <f>SUMIF('Exp Details'!$D$147:$D$152,'Function-Grant'!AJ$4,'Exp Details'!$H$147:$H$152)</f>
        <v>0</v>
      </c>
      <c r="AK85" s="39">
        <f>SUMIF('Exp Details'!$D$147:$D$152,'Function-Grant'!AK$4,'Exp Details'!$H$147:$H$152)</f>
        <v>0</v>
      </c>
      <c r="AL85" s="39">
        <f>SUMIF('Exp Details'!$D$147:$D$152,'Function-Grant'!AL$4,'Exp Details'!$H$147:$H$152)</f>
        <v>0</v>
      </c>
      <c r="AM85" s="39">
        <f>SUMIF('Exp Details'!$D$147:$D$152,'Function-Grant'!AM$4,'Exp Details'!$H$147:$H$152)</f>
        <v>0</v>
      </c>
      <c r="AN85" s="41"/>
      <c r="AO85" s="59">
        <f t="shared" si="37"/>
        <v>0</v>
      </c>
      <c r="AP85" s="41"/>
      <c r="AQ85" s="260">
        <f>AO85-'FY21'!S85</f>
        <v>0</v>
      </c>
    </row>
    <row r="86" spans="3:43" s="37" customFormat="1" ht="12" x14ac:dyDescent="0.2">
      <c r="C86" s="200">
        <v>6531</v>
      </c>
      <c r="D86" s="37" t="s">
        <v>27</v>
      </c>
      <c r="E86" s="39">
        <f>SUMIF('Exp Details'!$D$156:$D$159,'Function-Grant'!E$4,'Exp Details'!$H$156:$H$159)</f>
        <v>0</v>
      </c>
      <c r="F86" s="39">
        <f>SUMIF('Exp Details'!$D$156:$D$159,'Function-Grant'!F$4,'Exp Details'!$H$156:$H$159)</f>
        <v>0</v>
      </c>
      <c r="G86" s="39">
        <f>SUMIF('Exp Details'!$D$156:$D$159,'Function-Grant'!G$4,'Exp Details'!$H$156:$H$159)</f>
        <v>0</v>
      </c>
      <c r="H86" s="39">
        <f>SUMIF('Exp Details'!$D$156:$D$159,'Function-Grant'!H$4,'Exp Details'!$H$156:$H$159)</f>
        <v>0</v>
      </c>
      <c r="I86" s="39">
        <f>SUMIF('Exp Details'!$D$156:$D$159,'Function-Grant'!I$4,'Exp Details'!$H$156:$H$159)</f>
        <v>0</v>
      </c>
      <c r="J86" s="39">
        <f>SUMIF('Exp Details'!$D$156:$D$159,'Function-Grant'!J$4,'Exp Details'!$H$156:$H$159)</f>
        <v>0</v>
      </c>
      <c r="K86" s="39">
        <f>SUMIF('Exp Details'!$D$156:$D$159,'Function-Grant'!K$4,'Exp Details'!$H$156:$H$159)</f>
        <v>0</v>
      </c>
      <c r="L86" s="39">
        <f>SUMIF('Exp Details'!$D$156:$D$159,'Function-Grant'!L$4,'Exp Details'!$H$156:$H$159)</f>
        <v>0</v>
      </c>
      <c r="M86" s="39">
        <f>SUMIF('Exp Details'!$D$156:$D$159,'Function-Grant'!M$4,'Exp Details'!$H$156:$H$159)</f>
        <v>0</v>
      </c>
      <c r="N86" s="39">
        <f>SUMIF('Exp Details'!$D$156:$D$159,'Function-Grant'!N$4,'Exp Details'!$H$156:$H$159)</f>
        <v>0</v>
      </c>
      <c r="O86" s="371">
        <f>SUMIF('Exp Details'!$D$156:$D$159,'Function-Grant'!O$4,'Exp Details'!$H$156:$H$159)</f>
        <v>1800</v>
      </c>
      <c r="P86" s="39">
        <f>SUMIF('Exp Details'!$D$156:$D$159,'Function-Grant'!P$4,'Exp Details'!$H$156:$H$159)</f>
        <v>0</v>
      </c>
      <c r="Q86" s="39">
        <f>SUMIF('Exp Details'!$D$156:$D$159,'Function-Grant'!Q$4,'Exp Details'!$H$156:$H$159)</f>
        <v>0</v>
      </c>
      <c r="R86" s="39">
        <f>SUMIF('Exp Details'!$D$156:$D$159,'Function-Grant'!R$4,'Exp Details'!$H$156:$H$159)</f>
        <v>0</v>
      </c>
      <c r="S86" s="39">
        <f>SUMIF('Exp Details'!$D$156:$D$159,'Function-Grant'!S$4,'Exp Details'!$H$156:$H$159)</f>
        <v>0</v>
      </c>
      <c r="T86" s="39">
        <f>SUMIF('Exp Details'!$D$156:$D$159,'Function-Grant'!T$4,'Exp Details'!$H$156:$H$159)</f>
        <v>0</v>
      </c>
      <c r="U86" s="39">
        <f>SUMIF('Exp Details'!$D$156:$D$159,'Function-Grant'!U$4,'Exp Details'!$H$156:$H$159)</f>
        <v>0</v>
      </c>
      <c r="V86" s="39">
        <f>SUMIF('Exp Details'!$D$156:$D$159,'Function-Grant'!V$4,'Exp Details'!$H$156:$H$159)</f>
        <v>0</v>
      </c>
      <c r="W86" s="39">
        <f>SUMIF('Exp Details'!$D$156:$D$159,'Function-Grant'!W$4,'Exp Details'!$H$156:$H$159)</f>
        <v>0</v>
      </c>
      <c r="X86" s="39">
        <f>SUMIF('Exp Details'!$D$156:$D$159,'Function-Grant'!X$4,'Exp Details'!$H$156:$H$159)</f>
        <v>0</v>
      </c>
      <c r="Y86" s="39">
        <f>SUMIF('Exp Details'!$D$156:$D$159,'Function-Grant'!Y$4,'Exp Details'!$H$156:$H$159)</f>
        <v>0</v>
      </c>
      <c r="Z86" s="39">
        <f>SUMIF('Exp Details'!$D$156:$D$159,'Function-Grant'!Z$4,'Exp Details'!$H$156:$H$159)</f>
        <v>0</v>
      </c>
      <c r="AA86" s="39">
        <f>SUMIF('Exp Details'!$D$156:$D$159,'Function-Grant'!AA$4,'Exp Details'!$H$156:$H$159)</f>
        <v>0</v>
      </c>
      <c r="AB86" s="39">
        <f>SUMIF('Exp Details'!$D$156:$D$159,'Function-Grant'!AB$4,'Exp Details'!$H$156:$H$159)</f>
        <v>0</v>
      </c>
      <c r="AC86" s="39">
        <f>SUMIF('Exp Details'!$D$156:$D$159,'Function-Grant'!AC$4,'Exp Details'!$H$156:$H$159)</f>
        <v>0</v>
      </c>
      <c r="AD86" s="39">
        <f>SUMIF('Exp Details'!$D$156:$D$159,'Function-Grant'!AD$4,'Exp Details'!$H$156:$H$159)</f>
        <v>0</v>
      </c>
      <c r="AE86" s="39">
        <f>SUMIF('Exp Details'!$D$156:$D$159,'Function-Grant'!AE$4,'Exp Details'!$H$156:$H$159)</f>
        <v>0</v>
      </c>
      <c r="AF86" s="39">
        <f>SUMIF('Exp Details'!$D$156:$D$159,'Function-Grant'!AF$4,'Exp Details'!$H$156:$H$159)</f>
        <v>0</v>
      </c>
      <c r="AG86" s="39">
        <f>SUMIF('Exp Details'!$D$156:$D$159,'Function-Grant'!AG$4,'Exp Details'!$H$156:$H$159)</f>
        <v>0</v>
      </c>
      <c r="AH86" s="39">
        <f>SUMIF('Exp Details'!$D$156:$D$159,'Function-Grant'!AH$4,'Exp Details'!$H$156:$H$159)</f>
        <v>0</v>
      </c>
      <c r="AI86" s="39">
        <f>SUMIF('Exp Details'!$D$156:$D$159,'Function-Grant'!AI$4,'Exp Details'!$H$156:$H$159)</f>
        <v>0</v>
      </c>
      <c r="AJ86" s="39">
        <f>SUMIF('Exp Details'!$D$156:$D$159,'Function-Grant'!AJ$4,'Exp Details'!$H$156:$H$159)</f>
        <v>0</v>
      </c>
      <c r="AK86" s="39">
        <f>SUMIF('Exp Details'!$D$156:$D$159,'Function-Grant'!AK$4,'Exp Details'!$H$156:$H$159)</f>
        <v>0</v>
      </c>
      <c r="AL86" s="39">
        <f>SUMIF('Exp Details'!$D$156:$D$159,'Function-Grant'!AL$4,'Exp Details'!$H$156:$H$159)</f>
        <v>0</v>
      </c>
      <c r="AM86" s="39">
        <f>SUMIF('Exp Details'!$D$156:$D$159,'Function-Grant'!AM$4,'Exp Details'!$H$156:$H$159)</f>
        <v>0</v>
      </c>
      <c r="AN86" s="41"/>
      <c r="AO86" s="59">
        <f t="shared" si="37"/>
        <v>1800</v>
      </c>
      <c r="AP86" s="41"/>
      <c r="AQ86" s="260">
        <f>AO86-'FY21'!S86</f>
        <v>0</v>
      </c>
    </row>
    <row r="87" spans="3:43" s="37" customFormat="1" ht="12" x14ac:dyDescent="0.2">
      <c r="C87" s="200">
        <v>6534</v>
      </c>
      <c r="D87" s="37" t="s">
        <v>28</v>
      </c>
      <c r="E87" s="39">
        <f>SUMIF('Exp Details'!$D$163:$D$165,'Function-Grant'!E$4,'Exp Details'!$H$163:$H$165)</f>
        <v>0</v>
      </c>
      <c r="F87" s="39">
        <f>SUMIF('Exp Details'!$D$163:$D$165,'Function-Grant'!F$4,'Exp Details'!$H$163:$H$165)</f>
        <v>0</v>
      </c>
      <c r="G87" s="39">
        <f>SUMIF('Exp Details'!$D$163:$D$165,'Function-Grant'!G$4,'Exp Details'!$H$163:$H$165)</f>
        <v>0</v>
      </c>
      <c r="H87" s="39">
        <f>SUMIF('Exp Details'!$D$163:$D$165,'Function-Grant'!H$4,'Exp Details'!$H$163:$H$165)</f>
        <v>0</v>
      </c>
      <c r="I87" s="39">
        <f>SUMIF('Exp Details'!$D$163:$D$165,'Function-Grant'!I$4,'Exp Details'!$H$163:$H$165)</f>
        <v>0</v>
      </c>
      <c r="J87" s="39">
        <f>SUMIF('Exp Details'!$D$163:$D$165,'Function-Grant'!J$4,'Exp Details'!$H$163:$H$165)</f>
        <v>0</v>
      </c>
      <c r="K87" s="39">
        <f>SUMIF('Exp Details'!$D$163:$D$165,'Function-Grant'!K$4,'Exp Details'!$H$163:$H$165)</f>
        <v>0</v>
      </c>
      <c r="L87" s="39">
        <f>SUMIF('Exp Details'!$D$163:$D$165,'Function-Grant'!L$4,'Exp Details'!$H$163:$H$165)</f>
        <v>0</v>
      </c>
      <c r="M87" s="39">
        <f>SUMIF('Exp Details'!$D$163:$D$165,'Function-Grant'!M$4,'Exp Details'!$H$163:$H$165)</f>
        <v>0</v>
      </c>
      <c r="N87" s="39">
        <f>SUMIF('Exp Details'!$D$163:$D$165,'Function-Grant'!N$4,'Exp Details'!$H$163:$H$165)</f>
        <v>0</v>
      </c>
      <c r="O87" s="39">
        <f>SUMIF('Exp Details'!$D$163:$D$165,'Function-Grant'!O$4,'Exp Details'!$H$163:$H$165)</f>
        <v>0</v>
      </c>
      <c r="P87" s="39">
        <f>SUMIF('Exp Details'!$D$163:$D$165,'Function-Grant'!P$4,'Exp Details'!$H$163:$H$165)</f>
        <v>0</v>
      </c>
      <c r="Q87" s="39">
        <f>SUMIF('Exp Details'!$D$163:$D$165,'Function-Grant'!Q$4,'Exp Details'!$H$163:$H$165)</f>
        <v>0</v>
      </c>
      <c r="R87" s="39">
        <f>SUMIF('Exp Details'!$D$163:$D$165,'Function-Grant'!R$4,'Exp Details'!$H$163:$H$165)</f>
        <v>0</v>
      </c>
      <c r="S87" s="39">
        <f>SUMIF('Exp Details'!$D$163:$D$165,'Function-Grant'!S$4,'Exp Details'!$H$163:$H$165)</f>
        <v>0</v>
      </c>
      <c r="T87" s="39">
        <f>SUMIF('Exp Details'!$D$163:$D$165,'Function-Grant'!T$4,'Exp Details'!$H$163:$H$165)</f>
        <v>0</v>
      </c>
      <c r="U87" s="39">
        <f>SUMIF('Exp Details'!$D$163:$D$165,'Function-Grant'!U$4,'Exp Details'!$H$163:$H$165)</f>
        <v>0</v>
      </c>
      <c r="V87" s="39">
        <f>SUMIF('Exp Details'!$D$163:$D$165,'Function-Grant'!V$4,'Exp Details'!$H$163:$H$165)</f>
        <v>0</v>
      </c>
      <c r="W87" s="39">
        <f>SUMIF('Exp Details'!$D$163:$D$165,'Function-Grant'!W$4,'Exp Details'!$H$163:$H$165)</f>
        <v>0</v>
      </c>
      <c r="X87" s="39">
        <f>SUMIF('Exp Details'!$D$163:$D$165,'Function-Grant'!X$4,'Exp Details'!$H$163:$H$165)</f>
        <v>0</v>
      </c>
      <c r="Y87" s="39">
        <f>SUMIF('Exp Details'!$D$163:$D$165,'Function-Grant'!Y$4,'Exp Details'!$H$163:$H$165)</f>
        <v>0</v>
      </c>
      <c r="Z87" s="39">
        <f>SUMIF('Exp Details'!$D$163:$D$165,'Function-Grant'!Z$4,'Exp Details'!$H$163:$H$165)</f>
        <v>0</v>
      </c>
      <c r="AA87" s="39">
        <f>SUMIF('Exp Details'!$D$163:$D$165,'Function-Grant'!AA$4,'Exp Details'!$H$163:$H$165)</f>
        <v>0</v>
      </c>
      <c r="AB87" s="39">
        <f>SUMIF('Exp Details'!$D$163:$D$165,'Function-Grant'!AB$4,'Exp Details'!$H$163:$H$165)</f>
        <v>0</v>
      </c>
      <c r="AC87" s="39">
        <f>SUMIF('Exp Details'!$D$163:$D$165,'Function-Grant'!AC$4,'Exp Details'!$H$163:$H$165)</f>
        <v>0</v>
      </c>
      <c r="AD87" s="39">
        <f>SUMIF('Exp Details'!$D$163:$D$165,'Function-Grant'!AD$4,'Exp Details'!$H$163:$H$165)</f>
        <v>0</v>
      </c>
      <c r="AE87" s="39">
        <f>SUMIF('Exp Details'!$D$163:$D$165,'Function-Grant'!AE$4,'Exp Details'!$H$163:$H$165)</f>
        <v>0</v>
      </c>
      <c r="AF87" s="39">
        <f>SUMIF('Exp Details'!$D$163:$D$165,'Function-Grant'!AF$4,'Exp Details'!$H$163:$H$165)</f>
        <v>0</v>
      </c>
      <c r="AG87" s="39">
        <f>SUMIF('Exp Details'!$D$163:$D$165,'Function-Grant'!AG$4,'Exp Details'!$H$163:$H$165)</f>
        <v>0</v>
      </c>
      <c r="AH87" s="39">
        <f>SUMIF('Exp Details'!$D$163:$D$165,'Function-Grant'!AH$4,'Exp Details'!$H$163:$H$165)</f>
        <v>0</v>
      </c>
      <c r="AI87" s="39">
        <f>SUMIF('Exp Details'!$D$163:$D$165,'Function-Grant'!AI$4,'Exp Details'!$H$163:$H$165)</f>
        <v>0</v>
      </c>
      <c r="AJ87" s="39">
        <f>SUMIF('Exp Details'!$D$163:$D$165,'Function-Grant'!AJ$4,'Exp Details'!$H$163:$H$165)</f>
        <v>0</v>
      </c>
      <c r="AK87" s="39">
        <f>SUMIF('Exp Details'!$D$163:$D$165,'Function-Grant'!AK$4,'Exp Details'!$H$163:$H$165)</f>
        <v>0</v>
      </c>
      <c r="AL87" s="39">
        <f>SUMIF('Exp Details'!$D$163:$D$165,'Function-Grant'!AL$4,'Exp Details'!$H$163:$H$165)</f>
        <v>0</v>
      </c>
      <c r="AM87" s="39">
        <f>SUMIF('Exp Details'!$D$163:$D$165,'Function-Grant'!AM$4,'Exp Details'!$H$163:$H$165)</f>
        <v>0</v>
      </c>
      <c r="AN87" s="41"/>
      <c r="AO87" s="59">
        <f t="shared" si="37"/>
        <v>0</v>
      </c>
      <c r="AP87" s="41"/>
      <c r="AQ87" s="260">
        <f>AO87-'FY21'!S87</f>
        <v>0</v>
      </c>
    </row>
    <row r="88" spans="3:43" s="37" customFormat="1" ht="12" x14ac:dyDescent="0.2">
      <c r="C88" s="200">
        <v>6535</v>
      </c>
      <c r="D88" s="37" t="s">
        <v>235</v>
      </c>
      <c r="E88" s="39">
        <f>SUMIF('Exp Details'!$D$170:$D$172,'Function-Grant'!E$4,'Exp Details'!$H$170:$H$172)</f>
        <v>0</v>
      </c>
      <c r="F88" s="371">
        <f>SUMIF('Exp Details'!$D$169:$D$170,'Function-Grant'!F$4,'Exp Details'!$H$169:$H$170)</f>
        <v>1740</v>
      </c>
      <c r="G88" s="39">
        <f>SUMIF('Exp Details'!$D$170:$D$172,'Function-Grant'!G$4,'Exp Details'!$H$170:$H$172)</f>
        <v>0</v>
      </c>
      <c r="H88" s="39">
        <f>SUMIF('Exp Details'!$D$170:$D$172,'Function-Grant'!H$4,'Exp Details'!$H$170:$H$172)</f>
        <v>0</v>
      </c>
      <c r="I88" s="39">
        <f>SUMIF('Exp Details'!$D$170:$D$172,'Function-Grant'!I$4,'Exp Details'!$H$170:$H$172)</f>
        <v>0</v>
      </c>
      <c r="J88" s="39">
        <f>SUMIF('Exp Details'!$D$170:$D$172,'Function-Grant'!J$4,'Exp Details'!$H$170:$H$172)</f>
        <v>0</v>
      </c>
      <c r="K88" s="39">
        <f>SUMIF('Exp Details'!$D$170:$D$172,'Function-Grant'!K$4,'Exp Details'!$H$170:$H$172)</f>
        <v>0</v>
      </c>
      <c r="L88" s="39">
        <f>SUMIF('Exp Details'!$D$170:$D$172,'Function-Grant'!L$4,'Exp Details'!$H$170:$H$172)</f>
        <v>0</v>
      </c>
      <c r="M88" s="39">
        <f>SUMIF('Exp Details'!$D$170:$D$172,'Function-Grant'!M$4,'Exp Details'!$H$170:$H$172)</f>
        <v>0</v>
      </c>
      <c r="N88" s="39">
        <f>SUMIF('Exp Details'!$D$170:$D$172,'Function-Grant'!N$4,'Exp Details'!$H$170:$H$172)</f>
        <v>0</v>
      </c>
      <c r="O88" s="39">
        <f>SUMIF('Exp Details'!$D$170:$D$172,'Function-Grant'!O$4,'Exp Details'!$H$170:$H$172)</f>
        <v>0</v>
      </c>
      <c r="P88" s="39">
        <f>SUMIF('Exp Details'!$D$170:$D$172,'Function-Grant'!P$4,'Exp Details'!$H$170:$H$172)</f>
        <v>0</v>
      </c>
      <c r="Q88" s="39">
        <f>SUMIF('Exp Details'!$D$170:$D$172,'Function-Grant'!Q$4,'Exp Details'!$H$170:$H$172)</f>
        <v>0</v>
      </c>
      <c r="R88" s="39">
        <f>SUMIF('Exp Details'!$D$170:$D$172,'Function-Grant'!R$4,'Exp Details'!$H$170:$H$172)</f>
        <v>0</v>
      </c>
      <c r="S88" s="39">
        <f>SUMIF('Exp Details'!$D$170:$D$172,'Function-Grant'!S$4,'Exp Details'!$H$170:$H$172)</f>
        <v>0</v>
      </c>
      <c r="T88" s="39">
        <f>SUMIF('Exp Details'!$D$170:$D$172,'Function-Grant'!T$4,'Exp Details'!$H$170:$H$172)</f>
        <v>0</v>
      </c>
      <c r="U88" s="39">
        <f>SUMIF('Exp Details'!$D$170:$D$172,'Function-Grant'!U$4,'Exp Details'!$H$170:$H$172)</f>
        <v>0</v>
      </c>
      <c r="V88" s="39">
        <f>SUMIF('Exp Details'!$D$170:$D$172,'Function-Grant'!V$4,'Exp Details'!$H$170:$H$172)</f>
        <v>0</v>
      </c>
      <c r="W88" s="39">
        <f>SUMIF('Exp Details'!$D$170:$D$172,'Function-Grant'!W$4,'Exp Details'!$H$170:$H$172)</f>
        <v>0</v>
      </c>
      <c r="X88" s="39">
        <f>SUMIF('Exp Details'!$D$170:$D$172,'Function-Grant'!X$4,'Exp Details'!$H$170:$H$172)</f>
        <v>0</v>
      </c>
      <c r="Y88" s="39">
        <f>SUMIF('Exp Details'!$D$170:$D$172,'Function-Grant'!Y$4,'Exp Details'!$H$170:$H$172)</f>
        <v>0</v>
      </c>
      <c r="Z88" s="39">
        <f>SUMIF('Exp Details'!$D$170:$D$172,'Function-Grant'!Z$4,'Exp Details'!$H$170:$H$172)</f>
        <v>0</v>
      </c>
      <c r="AA88" s="39">
        <f>SUMIF('Exp Details'!$D$170:$D$172,'Function-Grant'!AA$4,'Exp Details'!$H$170:$H$172)</f>
        <v>0</v>
      </c>
      <c r="AB88" s="39">
        <f>SUMIF('Exp Details'!$D$170:$D$172,'Function-Grant'!AB$4,'Exp Details'!$H$170:$H$172)</f>
        <v>0</v>
      </c>
      <c r="AC88" s="39">
        <f>SUMIF('Exp Details'!$D$170:$D$172,'Function-Grant'!AC$4,'Exp Details'!$H$170:$H$172)</f>
        <v>0</v>
      </c>
      <c r="AD88" s="39">
        <f>SUMIF('Exp Details'!$D$170:$D$172,'Function-Grant'!AD$4,'Exp Details'!$H$170:$H$172)</f>
        <v>0</v>
      </c>
      <c r="AE88" s="39">
        <f>SUMIF('Exp Details'!$D$170:$D$172,'Function-Grant'!AE$4,'Exp Details'!$H$170:$H$172)</f>
        <v>0</v>
      </c>
      <c r="AF88" s="39">
        <f>SUMIF('Exp Details'!$D$170:$D$172,'Function-Grant'!AF$4,'Exp Details'!$H$170:$H$172)</f>
        <v>0</v>
      </c>
      <c r="AG88" s="39">
        <f>SUMIF('Exp Details'!$D$170:$D$172,'Function-Grant'!AG$4,'Exp Details'!$H$170:$H$172)</f>
        <v>0</v>
      </c>
      <c r="AH88" s="39">
        <f>SUMIF('Exp Details'!$D$170:$D$172,'Function-Grant'!AH$4,'Exp Details'!$H$170:$H$172)</f>
        <v>0</v>
      </c>
      <c r="AI88" s="39">
        <f>SUMIF('Exp Details'!$D$170:$D$172,'Function-Grant'!AI$4,'Exp Details'!$H$170:$H$172)</f>
        <v>0</v>
      </c>
      <c r="AJ88" s="39">
        <f>SUMIF('Exp Details'!$D$170:$D$172,'Function-Grant'!AJ$4,'Exp Details'!$H$170:$H$172)</f>
        <v>0</v>
      </c>
      <c r="AK88" s="39">
        <f>SUMIF('Exp Details'!$D$170:$D$172,'Function-Grant'!AK$4,'Exp Details'!$H$170:$H$172)</f>
        <v>0</v>
      </c>
      <c r="AL88" s="39">
        <f>SUMIF('Exp Details'!$D$170:$D$172,'Function-Grant'!AL$4,'Exp Details'!$H$170:$H$172)</f>
        <v>0</v>
      </c>
      <c r="AM88" s="39">
        <f>SUMIF('Exp Details'!$D$170:$D$172,'Function-Grant'!AM$4,'Exp Details'!$H$170:$H$172)</f>
        <v>0</v>
      </c>
      <c r="AN88" s="41"/>
      <c r="AO88" s="59">
        <f t="shared" si="37"/>
        <v>1740</v>
      </c>
      <c r="AP88" s="41"/>
      <c r="AQ88" s="260">
        <f>AO88-'FY21'!S88</f>
        <v>0</v>
      </c>
    </row>
    <row r="89" spans="3:43" s="37" customFormat="1" ht="12" x14ac:dyDescent="0.2">
      <c r="C89" s="200">
        <v>6540</v>
      </c>
      <c r="D89" s="37" t="s">
        <v>30</v>
      </c>
      <c r="E89" s="39">
        <f>SUMIF('Exp Details'!$D$176:$D$178,'Function-Grant'!E$4,'Exp Details'!$H$176:$H$178)</f>
        <v>0</v>
      </c>
      <c r="F89" s="39">
        <f>SUMIF('Exp Details'!$D$176:$D$178,'Function-Grant'!F$4,'Exp Details'!$H$176:$H$178)</f>
        <v>0</v>
      </c>
      <c r="G89" s="39">
        <f>SUMIF('Exp Details'!$D$176:$D$178,'Function-Grant'!G$4,'Exp Details'!$H$176:$H$178)</f>
        <v>0</v>
      </c>
      <c r="H89" s="39">
        <f>SUMIF('Exp Details'!$D$176:$D$178,'Function-Grant'!H$4,'Exp Details'!$H$176:$H$178)</f>
        <v>0</v>
      </c>
      <c r="I89" s="39">
        <f>SUMIF('Exp Details'!$D$176:$D$178,'Function-Grant'!I$4,'Exp Details'!$H$176:$H$178)</f>
        <v>0</v>
      </c>
      <c r="J89" s="39">
        <f>SUMIF('Exp Details'!$D$176:$D$178,'Function-Grant'!J$4,'Exp Details'!$H$176:$H$178)</f>
        <v>0</v>
      </c>
      <c r="K89" s="39">
        <f>SUMIF('Exp Details'!$D$176:$D$178,'Function-Grant'!K$4,'Exp Details'!$H$176:$H$178)</f>
        <v>0</v>
      </c>
      <c r="L89" s="39">
        <f>SUMIF('Exp Details'!$D$176:$D$178,'Function-Grant'!L$4,'Exp Details'!$H$176:$H$178)</f>
        <v>0</v>
      </c>
      <c r="M89" s="39">
        <f>SUMIF('Exp Details'!$D$176:$D$178,'Function-Grant'!M$4,'Exp Details'!$H$176:$H$178)</f>
        <v>0</v>
      </c>
      <c r="N89" s="39">
        <f>SUMIF('Exp Details'!$D$176:$D$178,'Function-Grant'!N$4,'Exp Details'!$H$176:$H$178)</f>
        <v>0</v>
      </c>
      <c r="O89" s="39">
        <f>SUMIF('Exp Details'!$D$176:$D$178,'Function-Grant'!O$4,'Exp Details'!$H$176:$H$178)</f>
        <v>0</v>
      </c>
      <c r="P89" s="39">
        <f>SUMIF('Exp Details'!$D$176:$D$178,'Function-Grant'!P$4,'Exp Details'!$H$176:$H$178)</f>
        <v>0</v>
      </c>
      <c r="Q89" s="371">
        <f>SUMIF('Exp Details'!$D$176:$D$178,'Function-Grant'!Q$4,'Exp Details'!$H$176:$H$178)</f>
        <v>2000</v>
      </c>
      <c r="R89" s="39">
        <f>SUMIF('Exp Details'!$D$176:$D$178,'Function-Grant'!R$4,'Exp Details'!$H$176:$H$178)</f>
        <v>0</v>
      </c>
      <c r="S89" s="39">
        <f>SUMIF('Exp Details'!$D$176:$D$178,'Function-Grant'!S$4,'Exp Details'!$H$176:$H$178)</f>
        <v>0</v>
      </c>
      <c r="T89" s="39">
        <f>SUMIF('Exp Details'!$D$176:$D$178,'Function-Grant'!T$4,'Exp Details'!$H$176:$H$178)</f>
        <v>0</v>
      </c>
      <c r="U89" s="39">
        <f>SUMIF('Exp Details'!$D$176:$D$178,'Function-Grant'!U$4,'Exp Details'!$H$176:$H$178)</f>
        <v>0</v>
      </c>
      <c r="V89" s="39">
        <f>SUMIF('Exp Details'!$D$176:$D$178,'Function-Grant'!V$4,'Exp Details'!$H$176:$H$178)</f>
        <v>0</v>
      </c>
      <c r="W89" s="39">
        <f>SUMIF('Exp Details'!$D$176:$D$178,'Function-Grant'!W$4,'Exp Details'!$H$176:$H$178)</f>
        <v>0</v>
      </c>
      <c r="X89" s="39">
        <f>SUMIF('Exp Details'!$D$176:$D$178,'Function-Grant'!X$4,'Exp Details'!$H$176:$H$178)</f>
        <v>0</v>
      </c>
      <c r="Y89" s="39">
        <f>SUMIF('Exp Details'!$D$176:$D$178,'Function-Grant'!Y$4,'Exp Details'!$H$176:$H$178)</f>
        <v>0</v>
      </c>
      <c r="Z89" s="39">
        <f>SUMIF('Exp Details'!$D$176:$D$178,'Function-Grant'!Z$4,'Exp Details'!$H$176:$H$178)</f>
        <v>0</v>
      </c>
      <c r="AA89" s="39">
        <f>SUMIF('Exp Details'!$D$176:$D$178,'Function-Grant'!AA$4,'Exp Details'!$H$176:$H$178)</f>
        <v>0</v>
      </c>
      <c r="AB89" s="39">
        <f>SUMIF('Exp Details'!$D$176:$D$178,'Function-Grant'!AB$4,'Exp Details'!$H$176:$H$178)</f>
        <v>0</v>
      </c>
      <c r="AC89" s="39">
        <f>SUMIF('Exp Details'!$D$176:$D$178,'Function-Grant'!AC$4,'Exp Details'!$H$176:$H$178)</f>
        <v>0</v>
      </c>
      <c r="AD89" s="39">
        <f>SUMIF('Exp Details'!$D$176:$D$178,'Function-Grant'!AD$4,'Exp Details'!$H$176:$H$178)</f>
        <v>0</v>
      </c>
      <c r="AE89" s="39">
        <f>SUMIF('Exp Details'!$D$176:$D$178,'Function-Grant'!AE$4,'Exp Details'!$H$176:$H$178)</f>
        <v>0</v>
      </c>
      <c r="AF89" s="39">
        <f>SUMIF('Exp Details'!$D$176:$D$178,'Function-Grant'!AF$4,'Exp Details'!$H$176:$H$178)</f>
        <v>0</v>
      </c>
      <c r="AG89" s="39">
        <f>SUMIF('Exp Details'!$D$176:$D$178,'Function-Grant'!AG$4,'Exp Details'!$H$176:$H$178)</f>
        <v>0</v>
      </c>
      <c r="AH89" s="39">
        <f>SUMIF('Exp Details'!$D$176:$D$178,'Function-Grant'!AH$4,'Exp Details'!$H$176:$H$178)</f>
        <v>0</v>
      </c>
      <c r="AI89" s="39">
        <f>SUMIF('Exp Details'!$D$176:$D$178,'Function-Grant'!AI$4,'Exp Details'!$H$176:$H$178)</f>
        <v>0</v>
      </c>
      <c r="AJ89" s="39">
        <f>SUMIF('Exp Details'!$D$176:$D$178,'Function-Grant'!AJ$4,'Exp Details'!$H$176:$H$178)</f>
        <v>0</v>
      </c>
      <c r="AK89" s="39">
        <f>SUMIF('Exp Details'!$D$176:$D$178,'Function-Grant'!AK$4,'Exp Details'!$H$176:$H$178)</f>
        <v>0</v>
      </c>
      <c r="AL89" s="39">
        <f>SUMIF('Exp Details'!$D$176:$D$178,'Function-Grant'!AL$4,'Exp Details'!$H$176:$H$178)</f>
        <v>0</v>
      </c>
      <c r="AM89" s="39">
        <f>SUMIF('Exp Details'!$D$176:$D$178,'Function-Grant'!AM$4,'Exp Details'!$H$176:$H$178)</f>
        <v>0</v>
      </c>
      <c r="AN89" s="41"/>
      <c r="AO89" s="59">
        <f t="shared" si="37"/>
        <v>2000</v>
      </c>
      <c r="AP89" s="41"/>
      <c r="AQ89" s="260">
        <f>AO89-'FY21'!S89</f>
        <v>0</v>
      </c>
    </row>
    <row r="90" spans="3:43" s="37" customFormat="1" ht="12" x14ac:dyDescent="0.2">
      <c r="C90" s="200">
        <v>6550</v>
      </c>
      <c r="D90" s="37" t="s">
        <v>31</v>
      </c>
      <c r="E90" s="39">
        <f>SUMIF('Exp Details'!$D$182:$D$184,'Function-Grant'!E$4,'Exp Details'!$H$182:$H$184)</f>
        <v>0</v>
      </c>
      <c r="F90" s="39">
        <f>SUMIF('Exp Details'!$D$182:$D$184,'Function-Grant'!F$4,'Exp Details'!$H$182:$H$184)</f>
        <v>0</v>
      </c>
      <c r="G90" s="39">
        <f>SUMIF('Exp Details'!$D$182:$D$184,'Function-Grant'!G$4,'Exp Details'!$H$182:$H$184)</f>
        <v>0</v>
      </c>
      <c r="H90" s="39">
        <f>SUMIF('Exp Details'!$D$182:$D$184,'Function-Grant'!H$4,'Exp Details'!$H$182:$H$184)</f>
        <v>0</v>
      </c>
      <c r="I90" s="39">
        <f>SUMIF('Exp Details'!$D$182:$D$184,'Function-Grant'!I$4,'Exp Details'!$H$182:$H$184)</f>
        <v>0</v>
      </c>
      <c r="J90" s="39">
        <f>SUMIF('Exp Details'!$D$182:$D$184,'Function-Grant'!J$4,'Exp Details'!$H$182:$H$184)</f>
        <v>0</v>
      </c>
      <c r="K90" s="39">
        <f>SUMIF('Exp Details'!$D$182:$D$184,'Function-Grant'!K$4,'Exp Details'!$H$182:$H$184)</f>
        <v>0</v>
      </c>
      <c r="L90" s="39">
        <f>SUMIF('Exp Details'!$D$182:$D$184,'Function-Grant'!L$4,'Exp Details'!$H$182:$H$184)</f>
        <v>0</v>
      </c>
      <c r="M90" s="39">
        <f>SUMIF('Exp Details'!$D$182:$D$184,'Function-Grant'!M$4,'Exp Details'!$H$182:$H$184)</f>
        <v>0</v>
      </c>
      <c r="N90" s="39">
        <f>SUMIF('Exp Details'!$D$182:$D$184,'Function-Grant'!N$4,'Exp Details'!$H$182:$H$184)</f>
        <v>0</v>
      </c>
      <c r="O90" s="39">
        <f>SUMIF('Exp Details'!$D$182:$D$184,'Function-Grant'!O$4,'Exp Details'!$H$182:$H$184)</f>
        <v>0</v>
      </c>
      <c r="P90" s="39">
        <f>SUMIF('Exp Details'!$D$182:$D$184,'Function-Grant'!P$4,'Exp Details'!$H$182:$H$184)</f>
        <v>0</v>
      </c>
      <c r="Q90" s="39">
        <f>SUMIF('Exp Details'!$D$182:$D$184,'Function-Grant'!Q$4,'Exp Details'!$H$182:$H$184)</f>
        <v>0</v>
      </c>
      <c r="R90" s="39">
        <f>SUMIF('Exp Details'!$D$182:$D$184,'Function-Grant'!R$4,'Exp Details'!$H$182:$H$184)</f>
        <v>0</v>
      </c>
      <c r="S90" s="39">
        <f>SUMIF('Exp Details'!$D$182:$D$184,'Function-Grant'!S$4,'Exp Details'!$H$182:$H$184)</f>
        <v>0</v>
      </c>
      <c r="T90" s="39">
        <f>SUMIF('Exp Details'!$D$182:$D$184,'Function-Grant'!T$4,'Exp Details'!$H$182:$H$184)</f>
        <v>0</v>
      </c>
      <c r="U90" s="39">
        <f>SUMIF('Exp Details'!$D$182:$D$184,'Function-Grant'!U$4,'Exp Details'!$H$182:$H$184)</f>
        <v>0</v>
      </c>
      <c r="V90" s="39">
        <f>SUMIF('Exp Details'!$D$182:$D$184,'Function-Grant'!V$4,'Exp Details'!$H$182:$H$184)</f>
        <v>0</v>
      </c>
      <c r="W90" s="39">
        <f>SUMIF('Exp Details'!$D$182:$D$184,'Function-Grant'!W$4,'Exp Details'!$H$182:$H$184)</f>
        <v>0</v>
      </c>
      <c r="X90" s="39">
        <f>SUMIF('Exp Details'!$D$182:$D$184,'Function-Grant'!X$4,'Exp Details'!$H$182:$H$184)</f>
        <v>0</v>
      </c>
      <c r="Y90" s="39">
        <f>SUMIF('Exp Details'!$D$182:$D$184,'Function-Grant'!Y$4,'Exp Details'!$H$182:$H$184)</f>
        <v>0</v>
      </c>
      <c r="Z90" s="39">
        <f>SUMIF('Exp Details'!$D$182:$D$184,'Function-Grant'!Z$4,'Exp Details'!$H$182:$H$184)</f>
        <v>0</v>
      </c>
      <c r="AA90" s="39">
        <f>SUMIF('Exp Details'!$D$182:$D$184,'Function-Grant'!AA$4,'Exp Details'!$H$182:$H$184)</f>
        <v>0</v>
      </c>
      <c r="AB90" s="39">
        <f>SUMIF('Exp Details'!$D$182:$D$184,'Function-Grant'!AB$4,'Exp Details'!$H$182:$H$184)</f>
        <v>0</v>
      </c>
      <c r="AC90" s="39">
        <f>SUMIF('Exp Details'!$D$182:$D$184,'Function-Grant'!AC$4,'Exp Details'!$H$182:$H$184)</f>
        <v>0</v>
      </c>
      <c r="AD90" s="39">
        <f>SUMIF('Exp Details'!$D$182:$D$184,'Function-Grant'!AD$4,'Exp Details'!$H$182:$H$184)</f>
        <v>0</v>
      </c>
      <c r="AE90" s="39">
        <f>SUMIF('Exp Details'!$D$182:$D$184,'Function-Grant'!AE$4,'Exp Details'!$H$182:$H$184)</f>
        <v>0</v>
      </c>
      <c r="AF90" s="39">
        <f>SUMIF('Exp Details'!$D$182:$D$184,'Function-Grant'!AF$4,'Exp Details'!$H$182:$H$184)</f>
        <v>0</v>
      </c>
      <c r="AG90" s="39">
        <f>SUMIF('Exp Details'!$D$182:$D$184,'Function-Grant'!AG$4,'Exp Details'!$H$182:$H$184)</f>
        <v>0</v>
      </c>
      <c r="AH90" s="39">
        <f>SUMIF('Exp Details'!$D$182:$D$184,'Function-Grant'!AH$4,'Exp Details'!$H$182:$H$184)</f>
        <v>0</v>
      </c>
      <c r="AI90" s="39">
        <f>SUMIF('Exp Details'!$D$182:$D$184,'Function-Grant'!AI$4,'Exp Details'!$H$182:$H$184)</f>
        <v>0</v>
      </c>
      <c r="AJ90" s="39">
        <f>SUMIF('Exp Details'!$D$182:$D$184,'Function-Grant'!AJ$4,'Exp Details'!$H$182:$H$184)</f>
        <v>0</v>
      </c>
      <c r="AK90" s="39">
        <f>SUMIF('Exp Details'!$D$182:$D$184,'Function-Grant'!AK$4,'Exp Details'!$H$182:$H$184)</f>
        <v>0</v>
      </c>
      <c r="AL90" s="39">
        <f>SUMIF('Exp Details'!$D$182:$D$184,'Function-Grant'!AL$4,'Exp Details'!$H$182:$H$184)</f>
        <v>0</v>
      </c>
      <c r="AM90" s="39">
        <f>SUMIF('Exp Details'!$D$182:$D$184,'Function-Grant'!AM$4,'Exp Details'!$H$182:$H$184)</f>
        <v>0</v>
      </c>
      <c r="AN90" s="41"/>
      <c r="AO90" s="59">
        <f t="shared" si="37"/>
        <v>0</v>
      </c>
      <c r="AP90" s="41"/>
      <c r="AQ90" s="260">
        <f>AO90-'FY21'!S90</f>
        <v>0</v>
      </c>
    </row>
    <row r="91" spans="3:43" s="37" customFormat="1" ht="12" x14ac:dyDescent="0.2">
      <c r="C91" s="207">
        <v>6568</v>
      </c>
      <c r="D91" s="37" t="s">
        <v>186</v>
      </c>
      <c r="E91" s="39">
        <f>SUMIF('Exp Details'!$D$188:$D$192,'Function-Grant'!E$4,'Exp Details'!$H$188:$H$192)</f>
        <v>0</v>
      </c>
      <c r="F91" s="39">
        <f>SUMIF('Exp Details'!$D$188:$D$192,'Function-Grant'!F$4,'Exp Details'!$H$188:$H$192)</f>
        <v>0</v>
      </c>
      <c r="G91" s="39">
        <f>SUMIF('Exp Details'!$D$188:$D$192,'Function-Grant'!G$4,'Exp Details'!$H$188:$H$192)</f>
        <v>0</v>
      </c>
      <c r="H91" s="39">
        <f>SUMIF('Exp Details'!$D$188:$D$192,'Function-Grant'!H$4,'Exp Details'!$H$188:$H$192)</f>
        <v>0</v>
      </c>
      <c r="I91" s="39">
        <f>SUMIF('Exp Details'!$D$188:$D$192,'Function-Grant'!I$4,'Exp Details'!$H$188:$H$192)</f>
        <v>0</v>
      </c>
      <c r="J91" s="39">
        <f>SUMIF('Exp Details'!$D$188:$D$192,'Function-Grant'!J$4,'Exp Details'!$H$188:$H$192)</f>
        <v>0</v>
      </c>
      <c r="K91" s="39">
        <f>SUMIF('Exp Details'!$D$188:$D$192,'Function-Grant'!K$4,'Exp Details'!$H$188:$H$192)</f>
        <v>0</v>
      </c>
      <c r="L91" s="39">
        <f>SUMIF('Exp Details'!$D$188:$D$192,'Function-Grant'!L$4,'Exp Details'!$H$188:$H$192)</f>
        <v>0</v>
      </c>
      <c r="M91" s="39">
        <f>SUMIF('Exp Details'!$D$188:$D$192,'Function-Grant'!M$4,'Exp Details'!$H$188:$H$192)</f>
        <v>0</v>
      </c>
      <c r="N91" s="39">
        <f>SUMIF('Exp Details'!$D$188:$D$192,'Function-Grant'!N$4,'Exp Details'!$H$188:$H$192)</f>
        <v>0</v>
      </c>
      <c r="O91" s="39">
        <f>SUMIF('Exp Details'!$D$188:$D$192,'Function-Grant'!O$4,'Exp Details'!$H$188:$H$192)</f>
        <v>0</v>
      </c>
      <c r="P91" s="39">
        <f>SUMIF('Exp Details'!$D$188:$D$192,'Function-Grant'!P$4,'Exp Details'!$H$188:$H$192)</f>
        <v>0</v>
      </c>
      <c r="Q91" s="39">
        <f>SUMIF('Exp Details'!$D$188:$D$192,'Function-Grant'!Q$4,'Exp Details'!$H$188:$H$192)</f>
        <v>0</v>
      </c>
      <c r="R91" s="39">
        <f>SUMIF('Exp Details'!$D$188:$D$192,'Function-Grant'!R$4,'Exp Details'!$H$188:$H$192)</f>
        <v>0</v>
      </c>
      <c r="S91" s="39">
        <f>SUMIF('Exp Details'!$D$188:$D$192,'Function-Grant'!S$4,'Exp Details'!$H$188:$H$192)</f>
        <v>0</v>
      </c>
      <c r="T91" s="39">
        <f>SUMIF('Exp Details'!$D$188:$D$192,'Function-Grant'!T$4,'Exp Details'!$H$188:$H$192)</f>
        <v>0</v>
      </c>
      <c r="U91" s="39">
        <f>SUMIF('Exp Details'!$D$188:$D$192,'Function-Grant'!U$4,'Exp Details'!$H$188:$H$192)</f>
        <v>0</v>
      </c>
      <c r="V91" s="39">
        <f>SUMIF('Exp Details'!$D$188:$D$192,'Function-Grant'!V$4,'Exp Details'!$H$188:$H$192)</f>
        <v>0</v>
      </c>
      <c r="W91" s="39">
        <f>SUMIF('Exp Details'!$D$188:$D$192,'Function-Grant'!W$4,'Exp Details'!$H$188:$H$192)</f>
        <v>0</v>
      </c>
      <c r="X91" s="39">
        <f>SUMIF('Exp Details'!$D$188:$D$192,'Function-Grant'!X$4,'Exp Details'!$H$188:$H$192)</f>
        <v>0</v>
      </c>
      <c r="Y91" s="39">
        <f>SUMIF('Exp Details'!$D$188:$D$192,'Function-Grant'!Y$4,'Exp Details'!$H$188:$H$192)</f>
        <v>0</v>
      </c>
      <c r="Z91" s="39">
        <f>SUMIF('Exp Details'!$D$188:$D$192,'Function-Grant'!Z$4,'Exp Details'!$H$188:$H$192)</f>
        <v>0</v>
      </c>
      <c r="AA91" s="39">
        <f>SUMIF('Exp Details'!$D$188:$D$192,'Function-Grant'!AA$4,'Exp Details'!$H$188:$H$192)</f>
        <v>0</v>
      </c>
      <c r="AB91" s="39">
        <f>SUMIF('Exp Details'!$D$188:$D$192,'Function-Grant'!AB$4,'Exp Details'!$H$188:$H$192)</f>
        <v>0</v>
      </c>
      <c r="AC91" s="39">
        <f>SUMIF('Exp Details'!$D$188:$D$192,'Function-Grant'!AC$4,'Exp Details'!$H$188:$H$192)</f>
        <v>0</v>
      </c>
      <c r="AD91" s="39">
        <f>SUMIF('Exp Details'!$D$188:$D$192,'Function-Grant'!AD$4,'Exp Details'!$H$188:$H$192)</f>
        <v>0</v>
      </c>
      <c r="AE91" s="39">
        <f>SUMIF('Exp Details'!$D$188:$D$192,'Function-Grant'!AE$4,'Exp Details'!$H$188:$H$192)</f>
        <v>0</v>
      </c>
      <c r="AF91" s="39">
        <f>SUMIF('Exp Details'!$D$188:$D$192,'Function-Grant'!AF$4,'Exp Details'!$H$188:$H$192)</f>
        <v>0</v>
      </c>
      <c r="AG91" s="39">
        <f>SUMIF('Exp Details'!$D$188:$D$192,'Function-Grant'!AG$4,'Exp Details'!$H$188:$H$192)</f>
        <v>0</v>
      </c>
      <c r="AH91" s="39">
        <f>SUMIF('Exp Details'!$D$188:$D$192,'Function-Grant'!AH$4,'Exp Details'!$H$188:$H$192)</f>
        <v>0</v>
      </c>
      <c r="AI91" s="39">
        <f>SUMIF('Exp Details'!$D$188:$D$192,'Function-Grant'!AI$4,'Exp Details'!$H$188:$H$192)</f>
        <v>0</v>
      </c>
      <c r="AJ91" s="39">
        <f>SUMIF('Exp Details'!$D$188:$D$192,'Function-Grant'!AJ$4,'Exp Details'!$H$188:$H$192)</f>
        <v>0</v>
      </c>
      <c r="AK91" s="39">
        <f>SUMIF('Exp Details'!$D$188:$D$192,'Function-Grant'!AK$4,'Exp Details'!$H$188:$H$192)</f>
        <v>0</v>
      </c>
      <c r="AL91" s="39">
        <f>SUMIF('Exp Details'!$D$188:$D$192,'Function-Grant'!AL$4,'Exp Details'!$H$188:$H$192)</f>
        <v>0</v>
      </c>
      <c r="AM91" s="39">
        <f>SUMIF('Exp Details'!$D$188:$D$192,'Function-Grant'!AM$4,'Exp Details'!$H$188:$H$192)</f>
        <v>0</v>
      </c>
      <c r="AN91" s="41"/>
      <c r="AO91" s="59">
        <f t="shared" si="37"/>
        <v>0</v>
      </c>
      <c r="AP91" s="41"/>
      <c r="AQ91" s="260">
        <f>AO91-'FY21'!S91</f>
        <v>0</v>
      </c>
    </row>
    <row r="92" spans="3:43" s="37" customFormat="1" ht="12" x14ac:dyDescent="0.2">
      <c r="C92" s="200">
        <v>6569</v>
      </c>
      <c r="D92" s="37" t="s">
        <v>32</v>
      </c>
      <c r="E92" s="39">
        <f>SUMIF('Exp Details'!$D$196:$D$203,'Function-Grant'!E$4,'Exp Details'!$H$196:$H$203)</f>
        <v>0</v>
      </c>
      <c r="F92" s="371">
        <f>SUMIF('Exp Details'!$D$196:$D$203,'Function-Grant'!F$4,'Exp Details'!$H$196:$H$203)</f>
        <v>519500</v>
      </c>
      <c r="G92" s="39">
        <f>SUMIF('Exp Details'!$D$196:$D$203,'Function-Grant'!G$4,'Exp Details'!$H$196:$H$203)</f>
        <v>0</v>
      </c>
      <c r="H92" s="39">
        <f>SUMIF('Exp Details'!$D$196:$D$203,'Function-Grant'!H$4,'Exp Details'!$H$196:$H$203)</f>
        <v>0</v>
      </c>
      <c r="I92" s="39">
        <f>SUMIF('Exp Details'!$D$196:$D$203,'Function-Grant'!I$4,'Exp Details'!$H$196:$H$203)</f>
        <v>0</v>
      </c>
      <c r="J92" s="39">
        <f>SUMIF('Exp Details'!$D$196:$D$203,'Function-Grant'!J$4,'Exp Details'!$H$196:$H$203)</f>
        <v>0</v>
      </c>
      <c r="K92" s="39">
        <f>SUMIF('Exp Details'!$D$196:$D$203,'Function-Grant'!K$4,'Exp Details'!$H$196:$H$203)</f>
        <v>0</v>
      </c>
      <c r="L92" s="39">
        <f>SUMIF('Exp Details'!$D$196:$D$203,'Function-Grant'!L$4,'Exp Details'!$H$196:$H$203)</f>
        <v>0</v>
      </c>
      <c r="M92" s="39">
        <f>SUMIF('Exp Details'!$D$196:$D$203,'Function-Grant'!M$4,'Exp Details'!$H$196:$H$203)</f>
        <v>0</v>
      </c>
      <c r="N92" s="39">
        <f>SUMIF('Exp Details'!$D$196:$D$203,'Function-Grant'!N$4,'Exp Details'!$H$196:$H$203)</f>
        <v>0</v>
      </c>
      <c r="O92" s="39">
        <f>SUMIF('Exp Details'!$D$196:$D$203,'Function-Grant'!O$4,'Exp Details'!$H$196:$H$203)</f>
        <v>0</v>
      </c>
      <c r="P92" s="39">
        <f>SUMIF('Exp Details'!$D$196:$D$203,'Function-Grant'!P$4,'Exp Details'!$H$196:$H$203)</f>
        <v>0</v>
      </c>
      <c r="Q92" s="39">
        <f>SUMIF('Exp Details'!$D$196:$D$203,'Function-Grant'!Q$4,'Exp Details'!$H$196:$H$203)</f>
        <v>0</v>
      </c>
      <c r="R92" s="39">
        <f>SUMIF('Exp Details'!$D$196:$D$203,'Function-Grant'!R$4,'Exp Details'!$H$196:$H$203)</f>
        <v>0</v>
      </c>
      <c r="S92" s="39">
        <f>SUMIF('Exp Details'!$D$196:$D$203,'Function-Grant'!S$4,'Exp Details'!$H$196:$H$203)</f>
        <v>0</v>
      </c>
      <c r="T92" s="39">
        <f>SUMIF('Exp Details'!$D$196:$D$203,'Function-Grant'!T$4,'Exp Details'!$H$196:$H$203)</f>
        <v>0</v>
      </c>
      <c r="U92" s="39">
        <f>SUMIF('Exp Details'!$D$196:$D$203,'Function-Grant'!U$4,'Exp Details'!$H$196:$H$203)</f>
        <v>0</v>
      </c>
      <c r="V92" s="39">
        <f>SUMIF('Exp Details'!$D$196:$D$203,'Function-Grant'!V$4,'Exp Details'!$H$196:$H$203)</f>
        <v>0</v>
      </c>
      <c r="W92" s="39">
        <f>SUMIF('Exp Details'!$D$196:$D$203,'Function-Grant'!W$4,'Exp Details'!$H$196:$H$203)</f>
        <v>0</v>
      </c>
      <c r="X92" s="39">
        <f>SUMIF('Exp Details'!$D$196:$D$203,'Function-Grant'!X$4,'Exp Details'!$H$196:$H$203)</f>
        <v>0</v>
      </c>
      <c r="Y92" s="39">
        <f>SUMIF('Exp Details'!$D$196:$D$203,'Function-Grant'!Y$4,'Exp Details'!$H$196:$H$203)</f>
        <v>0</v>
      </c>
      <c r="Z92" s="39">
        <f>SUMIF('Exp Details'!$D$196:$D$203,'Function-Grant'!Z$4,'Exp Details'!$H$196:$H$203)</f>
        <v>0</v>
      </c>
      <c r="AA92" s="39">
        <f>SUMIF('Exp Details'!$D$196:$D$203,'Function-Grant'!AA$4,'Exp Details'!$H$196:$H$203)</f>
        <v>0</v>
      </c>
      <c r="AB92" s="39">
        <f>SUMIF('Exp Details'!$D$196:$D$203,'Function-Grant'!AB$4,'Exp Details'!$H$196:$H$203)</f>
        <v>0</v>
      </c>
      <c r="AC92" s="39">
        <f>SUMIF('Exp Details'!$D$196:$D$203,'Function-Grant'!AC$4,'Exp Details'!$H$196:$H$203)</f>
        <v>0</v>
      </c>
      <c r="AD92" s="39">
        <f>SUMIF('Exp Details'!$D$196:$D$203,'Function-Grant'!AD$4,'Exp Details'!$H$196:$H$203)</f>
        <v>0</v>
      </c>
      <c r="AE92" s="39">
        <f>SUMIF('Exp Details'!$D$196:$D$203,'Function-Grant'!AE$4,'Exp Details'!$H$196:$H$203)</f>
        <v>0</v>
      </c>
      <c r="AF92" s="39">
        <f>SUMIF('Exp Details'!$D$196:$D$203,'Function-Grant'!AF$4,'Exp Details'!$H$196:$H$203)</f>
        <v>0</v>
      </c>
      <c r="AG92" s="39">
        <f>SUMIF('Exp Details'!$D$196:$D$203,'Function-Grant'!AG$4,'Exp Details'!$H$196:$H$203)</f>
        <v>0</v>
      </c>
      <c r="AH92" s="39">
        <f>SUMIF('Exp Details'!$D$196:$D$203,'Function-Grant'!AH$4,'Exp Details'!$H$196:$H$203)</f>
        <v>0</v>
      </c>
      <c r="AI92" s="39">
        <f>SUMIF('Exp Details'!$D$196:$D$203,'Function-Grant'!AI$4,'Exp Details'!$H$196:$H$203)</f>
        <v>0</v>
      </c>
      <c r="AJ92" s="39">
        <f>SUMIF('Exp Details'!$D$196:$D$203,'Function-Grant'!AJ$4,'Exp Details'!$H$196:$H$203)</f>
        <v>0</v>
      </c>
      <c r="AK92" s="39">
        <f>SUMIF('Exp Details'!$D$196:$D$203,'Function-Grant'!AK$4,'Exp Details'!$H$196:$H$203)</f>
        <v>0</v>
      </c>
      <c r="AL92" s="39">
        <f>SUMIF('Exp Details'!$D$196:$D$203,'Function-Grant'!AL$4,'Exp Details'!$H$196:$H$203)</f>
        <v>0</v>
      </c>
      <c r="AM92" s="39">
        <f>SUMIF('Exp Details'!$D$196:$D$203,'Function-Grant'!AM$4,'Exp Details'!$H$196:$H$203)</f>
        <v>0</v>
      </c>
      <c r="AN92" s="41"/>
      <c r="AO92" s="59">
        <f t="shared" si="37"/>
        <v>519500</v>
      </c>
      <c r="AP92" s="41"/>
      <c r="AQ92" s="260">
        <f>AO92-'FY21'!S92</f>
        <v>0</v>
      </c>
    </row>
    <row r="93" spans="3:43" s="37" customFormat="1" ht="12" x14ac:dyDescent="0.2">
      <c r="C93" s="200">
        <v>6580</v>
      </c>
      <c r="D93" s="37" t="s">
        <v>33</v>
      </c>
      <c r="E93" s="39">
        <f>SUMIF('Exp Details'!$D$207:$D$211,'Function-Grant'!E$4,'Exp Details'!$H$207:$H$211)</f>
        <v>0</v>
      </c>
      <c r="F93" s="39">
        <f>SUMIF('Exp Details'!$D$207:$D$211,'Function-Grant'!F$4,'Exp Details'!$H$207:$H$211)</f>
        <v>0</v>
      </c>
      <c r="G93" s="39">
        <f>SUMIF('Exp Details'!$D$207:$D$211,'Function-Grant'!G$4,'Exp Details'!$H$207:$H$211)</f>
        <v>0</v>
      </c>
      <c r="H93" s="39">
        <f>SUMIF('Exp Details'!$D$207:$D$211,'Function-Grant'!H$4,'Exp Details'!$H$207:$H$211)</f>
        <v>0</v>
      </c>
      <c r="I93" s="39">
        <f>SUMIF('Exp Details'!$D$207:$D$211,'Function-Grant'!I$4,'Exp Details'!$H$207:$H$211)</f>
        <v>0</v>
      </c>
      <c r="J93" s="39">
        <f>SUMIF('Exp Details'!$D$207:$D$211,'Function-Grant'!J$4,'Exp Details'!$H$207:$H$211)</f>
        <v>0</v>
      </c>
      <c r="K93" s="39">
        <f>SUMIF('Exp Details'!$D$207:$D$211,'Function-Grant'!K$4,'Exp Details'!$H$207:$H$211)</f>
        <v>0</v>
      </c>
      <c r="L93" s="39">
        <f>SUMIF('Exp Details'!$D$207:$D$211,'Function-Grant'!L$4,'Exp Details'!$H$207:$H$211)</f>
        <v>0</v>
      </c>
      <c r="M93" s="39">
        <f>SUMIF('Exp Details'!$D$207:$D$211,'Function-Grant'!M$4,'Exp Details'!$H$207:$H$211)</f>
        <v>0</v>
      </c>
      <c r="N93" s="39">
        <f>SUMIF('Exp Details'!$D$207:$D$211,'Function-Grant'!N$4,'Exp Details'!$H$207:$H$211)</f>
        <v>0</v>
      </c>
      <c r="O93" s="39">
        <f>SUMIF('Exp Details'!$D$207:$D$211,'Function-Grant'!O$4,'Exp Details'!$H$207:$H$211)</f>
        <v>0</v>
      </c>
      <c r="P93" s="39">
        <f>SUMIF('Exp Details'!$D$207:$D$211,'Function-Grant'!P$4,'Exp Details'!$H$207:$H$211)</f>
        <v>0</v>
      </c>
      <c r="Q93" s="39">
        <f>SUMIF('Exp Details'!$D$207:$D$211,'Function-Grant'!Q$4,'Exp Details'!$H$207:$H$211)</f>
        <v>0</v>
      </c>
      <c r="R93" s="39">
        <f>SUMIF('Exp Details'!$D$207:$D$211,'Function-Grant'!R$4,'Exp Details'!$H$207:$H$211)</f>
        <v>0</v>
      </c>
      <c r="S93" s="39">
        <f>SUMIF('Exp Details'!$D$207:$D$211,'Function-Grant'!S$4,'Exp Details'!$H$207:$H$211)</f>
        <v>0</v>
      </c>
      <c r="T93" s="39">
        <f>SUMIF('Exp Details'!$D$207:$D$211,'Function-Grant'!T$4,'Exp Details'!$H$207:$H$211)</f>
        <v>0</v>
      </c>
      <c r="U93" s="39">
        <f>SUMIF('Exp Details'!$D$207:$D$211,'Function-Grant'!U$4,'Exp Details'!$H$207:$H$211)</f>
        <v>0</v>
      </c>
      <c r="V93" s="39">
        <f>SUMIF('Exp Details'!$D$207:$D$211,'Function-Grant'!V$4,'Exp Details'!$H$207:$H$211)</f>
        <v>0</v>
      </c>
      <c r="W93" s="39">
        <f>SUMIF('Exp Details'!$D$207:$D$211,'Function-Grant'!W$4,'Exp Details'!$H$207:$H$211)</f>
        <v>0</v>
      </c>
      <c r="X93" s="39">
        <f>SUMIF('Exp Details'!$D$207:$D$211,'Function-Grant'!X$4,'Exp Details'!$H$207:$H$211)</f>
        <v>0</v>
      </c>
      <c r="Y93" s="39">
        <f>SUMIF('Exp Details'!$D$207:$D$211,'Function-Grant'!Y$4,'Exp Details'!$H$207:$H$211)</f>
        <v>0</v>
      </c>
      <c r="Z93" s="39">
        <f>SUMIF('Exp Details'!$D$207:$D$211,'Function-Grant'!Z$4,'Exp Details'!$H$207:$H$211)</f>
        <v>0</v>
      </c>
      <c r="AA93" s="39">
        <f>SUMIF('Exp Details'!$D$207:$D$211,'Function-Grant'!AA$4,'Exp Details'!$H$207:$H$211)</f>
        <v>0</v>
      </c>
      <c r="AB93" s="39">
        <f>SUMIF('Exp Details'!$D$207:$D$211,'Function-Grant'!AB$4,'Exp Details'!$H$207:$H$211)</f>
        <v>0</v>
      </c>
      <c r="AC93" s="39">
        <f>SUMIF('Exp Details'!$D$207:$D$211,'Function-Grant'!AC$4,'Exp Details'!$H$207:$H$211)</f>
        <v>0</v>
      </c>
      <c r="AD93" s="39">
        <f>SUMIF('Exp Details'!$D$207:$D$211,'Function-Grant'!AD$4,'Exp Details'!$H$207:$H$211)</f>
        <v>0</v>
      </c>
      <c r="AE93" s="39">
        <f>SUMIF('Exp Details'!$D$207:$D$211,'Function-Grant'!AE$4,'Exp Details'!$H$207:$H$211)</f>
        <v>0</v>
      </c>
      <c r="AF93" s="39">
        <f>SUMIF('Exp Details'!$D$207:$D$211,'Function-Grant'!AF$4,'Exp Details'!$H$207:$H$211)</f>
        <v>0</v>
      </c>
      <c r="AG93" s="39">
        <f>SUMIF('Exp Details'!$D$207:$D$211,'Function-Grant'!AG$4,'Exp Details'!$H$207:$H$211)</f>
        <v>0</v>
      </c>
      <c r="AH93" s="39">
        <f>SUMIF('Exp Details'!$D$207:$D$211,'Function-Grant'!AH$4,'Exp Details'!$H$207:$H$211)</f>
        <v>0</v>
      </c>
      <c r="AI93" s="39">
        <f>SUMIF('Exp Details'!$D$207:$D$211,'Function-Grant'!AI$4,'Exp Details'!$H$207:$H$211)</f>
        <v>0</v>
      </c>
      <c r="AJ93" s="39">
        <f>SUMIF('Exp Details'!$D$207:$D$211,'Function-Grant'!AJ$4,'Exp Details'!$H$207:$H$211)</f>
        <v>0</v>
      </c>
      <c r="AK93" s="39">
        <f>SUMIF('Exp Details'!$D$207:$D$211,'Function-Grant'!AK$4,'Exp Details'!$H$207:$H$211)</f>
        <v>0</v>
      </c>
      <c r="AL93" s="39">
        <f>SUMIF('Exp Details'!$D$207:$D$211,'Function-Grant'!AL$4,'Exp Details'!$H$207:$H$211)</f>
        <v>0</v>
      </c>
      <c r="AM93" s="39">
        <f>SUMIF('Exp Details'!$D$207:$D$211,'Function-Grant'!AM$4,'Exp Details'!$H$207:$H$211)</f>
        <v>0</v>
      </c>
      <c r="AN93" s="41"/>
      <c r="AO93" s="59">
        <f t="shared" si="37"/>
        <v>0</v>
      </c>
      <c r="AP93" s="41"/>
      <c r="AQ93" s="260">
        <f>AO93-'FY21'!S93</f>
        <v>0</v>
      </c>
    </row>
    <row r="94" spans="3:43" s="37" customFormat="1" ht="12" x14ac:dyDescent="0.2">
      <c r="C94" s="38"/>
      <c r="E94" s="50">
        <f t="shared" ref="E94:AM94" si="38">SUBTOTAL(9,E82:E93)</f>
        <v>0</v>
      </c>
      <c r="F94" s="50">
        <f>SUBTOTAL(9,F82:F93)</f>
        <v>525040</v>
      </c>
      <c r="G94" s="50">
        <f>SUBTOTAL(9,G82:G93)</f>
        <v>0</v>
      </c>
      <c r="H94" s="50">
        <f t="shared" si="38"/>
        <v>0</v>
      </c>
      <c r="I94" s="50">
        <f t="shared" si="38"/>
        <v>0</v>
      </c>
      <c r="J94" s="50">
        <f t="shared" si="38"/>
        <v>0</v>
      </c>
      <c r="K94" s="50">
        <f t="shared" si="38"/>
        <v>0</v>
      </c>
      <c r="L94" s="50">
        <f t="shared" si="38"/>
        <v>0</v>
      </c>
      <c r="M94" s="50">
        <f t="shared" si="38"/>
        <v>0</v>
      </c>
      <c r="N94" s="50">
        <f t="shared" si="38"/>
        <v>0</v>
      </c>
      <c r="O94" s="50">
        <f t="shared" si="38"/>
        <v>1800</v>
      </c>
      <c r="P94" s="50">
        <f t="shared" ref="P94" si="39">SUBTOTAL(9,P82:P93)</f>
        <v>0</v>
      </c>
      <c r="Q94" s="50">
        <f t="shared" si="38"/>
        <v>2000</v>
      </c>
      <c r="R94" s="50">
        <f t="shared" ref="R94:AH94" si="40">SUBTOTAL(9,R82:R93)</f>
        <v>0</v>
      </c>
      <c r="S94" s="50">
        <f t="shared" si="40"/>
        <v>0</v>
      </c>
      <c r="T94" s="50">
        <f t="shared" si="40"/>
        <v>0</v>
      </c>
      <c r="U94" s="50">
        <f t="shared" si="40"/>
        <v>0</v>
      </c>
      <c r="V94" s="50">
        <f t="shared" si="40"/>
        <v>0</v>
      </c>
      <c r="W94" s="50">
        <f t="shared" ref="W94" si="41">SUBTOTAL(9,W82:W93)</f>
        <v>0</v>
      </c>
      <c r="X94" s="50">
        <f t="shared" si="40"/>
        <v>400</v>
      </c>
      <c r="Y94" s="50">
        <f t="shared" si="40"/>
        <v>0</v>
      </c>
      <c r="Z94" s="50">
        <f t="shared" si="40"/>
        <v>0</v>
      </c>
      <c r="AA94" s="50">
        <f t="shared" si="40"/>
        <v>0</v>
      </c>
      <c r="AB94" s="50">
        <f t="shared" si="40"/>
        <v>0</v>
      </c>
      <c r="AC94" s="50">
        <f t="shared" si="40"/>
        <v>0</v>
      </c>
      <c r="AD94" s="50">
        <f t="shared" si="40"/>
        <v>0</v>
      </c>
      <c r="AE94" s="50">
        <f t="shared" si="40"/>
        <v>0</v>
      </c>
      <c r="AF94" s="50">
        <f t="shared" si="40"/>
        <v>0</v>
      </c>
      <c r="AG94" s="50">
        <f t="shared" si="40"/>
        <v>0</v>
      </c>
      <c r="AH94" s="50">
        <f t="shared" si="40"/>
        <v>0</v>
      </c>
      <c r="AI94" s="50">
        <f t="shared" si="38"/>
        <v>0</v>
      </c>
      <c r="AJ94" s="50">
        <f t="shared" si="38"/>
        <v>0</v>
      </c>
      <c r="AK94" s="50">
        <f t="shared" si="38"/>
        <v>0</v>
      </c>
      <c r="AL94" s="50">
        <f t="shared" si="38"/>
        <v>0</v>
      </c>
      <c r="AM94" s="50">
        <f t="shared" si="38"/>
        <v>0</v>
      </c>
      <c r="AN94" s="41"/>
      <c r="AO94" s="61">
        <f t="shared" ref="AO94" si="42">SUBTOTAL(9,AO82:AO93)</f>
        <v>529240</v>
      </c>
      <c r="AP94" s="41"/>
      <c r="AQ94" s="260">
        <f>AO94-'FY21'!S94</f>
        <v>0</v>
      </c>
    </row>
    <row r="95" spans="3:4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41"/>
      <c r="AO95" s="59"/>
      <c r="AP95" s="41"/>
      <c r="AQ95" s="260">
        <f>AO95-'FY21'!S95</f>
        <v>0</v>
      </c>
    </row>
    <row r="96" spans="3:43" s="37" customFormat="1" ht="12" x14ac:dyDescent="0.2">
      <c r="C96" s="200">
        <v>6610</v>
      </c>
      <c r="D96" s="37" t="s">
        <v>34</v>
      </c>
      <c r="E96" s="39">
        <f>SUMIF('Exp Details'!$D$216:$D$223,'Function-Grant'!E$4,'Exp Details'!$H$216:$H$223)</f>
        <v>0</v>
      </c>
      <c r="F96" s="371">
        <f>SUMIF('Exp Details'!$D$216:$D$223,'Function-Grant'!F$4,'Exp Details'!$H$216:$H$223)</f>
        <v>1200</v>
      </c>
      <c r="G96" s="39">
        <f>SUMIF('Exp Details'!$D$216:$D$223,'Function-Grant'!G$4,'Exp Details'!$H$216:$H$223)</f>
        <v>0</v>
      </c>
      <c r="H96" s="39">
        <f>SUMIF('Exp Details'!$D$216:$D$223,'Function-Grant'!H$4,'Exp Details'!$H$216:$H$223)</f>
        <v>0</v>
      </c>
      <c r="I96" s="39">
        <f>SUMIF('Exp Details'!$D$216:$D$223,'Function-Grant'!I$4,'Exp Details'!$H$216:$H$223)</f>
        <v>0</v>
      </c>
      <c r="J96" s="39">
        <f>SUMIF('Exp Details'!$D$216:$D$223,'Function-Grant'!J$4,'Exp Details'!$H$216:$H$223)</f>
        <v>0</v>
      </c>
      <c r="K96" s="39">
        <f>SUMIF('Exp Details'!$D$216:$D$223,'Function-Grant'!K$4,'Exp Details'!$H$216:$H$223)</f>
        <v>0</v>
      </c>
      <c r="L96" s="39">
        <f>SUMIF('Exp Details'!$D$216:$D$223,'Function-Grant'!L$4,'Exp Details'!$H$216:$H$223)</f>
        <v>0</v>
      </c>
      <c r="M96" s="39">
        <f>SUMIF('Exp Details'!$D$216:$D$223,'Function-Grant'!M$4,'Exp Details'!$H$216:$H$223)</f>
        <v>0</v>
      </c>
      <c r="N96" s="371">
        <f>SUMIF('Exp Details'!$D$216:$D$223,'Function-Grant'!N$4,'Exp Details'!$H$216:$H$223)</f>
        <v>1200</v>
      </c>
      <c r="O96" s="371">
        <f>SUMIF('Exp Details'!$D$216:$D$223,'Function-Grant'!O$4,'Exp Details'!$H$216:$H$223)</f>
        <v>3600</v>
      </c>
      <c r="P96" s="39">
        <f>SUMIF('Exp Details'!$D$216:$D$223,'Function-Grant'!P$4,'Exp Details'!$H$216:$H$223)</f>
        <v>0</v>
      </c>
      <c r="Q96" s="39">
        <f>SUMIF('Exp Details'!$D$216:$D$223,'Function-Grant'!Q$4,'Exp Details'!$H$216:$H$223)</f>
        <v>0</v>
      </c>
      <c r="R96" s="39">
        <f>SUMIF('Exp Details'!$D$216:$D$223,'Function-Grant'!R$4,'Exp Details'!$H$216:$H$223)</f>
        <v>0</v>
      </c>
      <c r="S96" s="39">
        <f>SUMIF('Exp Details'!$D$216:$D$223,'Function-Grant'!S$4,'Exp Details'!$H$216:$H$223)</f>
        <v>0</v>
      </c>
      <c r="T96" s="39">
        <f>SUMIF('Exp Details'!$D$216:$D$223,'Function-Grant'!T$4,'Exp Details'!$H$216:$H$223)</f>
        <v>0</v>
      </c>
      <c r="U96" s="39">
        <f>SUMIF('Exp Details'!$D$216:$D$223,'Function-Grant'!U$4,'Exp Details'!$H$216:$H$223)</f>
        <v>0</v>
      </c>
      <c r="V96" s="39">
        <f>SUMIF('Exp Details'!$D$216:$D$223,'Function-Grant'!V$4,'Exp Details'!$H$216:$H$223)</f>
        <v>0</v>
      </c>
      <c r="W96" s="39">
        <f>SUMIF('Exp Details'!$D$216:$D$223,'Function-Grant'!W$4,'Exp Details'!$H$216:$H$223)</f>
        <v>0</v>
      </c>
      <c r="X96" s="39">
        <f>SUMIF('Exp Details'!$D$216:$D$223,'Function-Grant'!X$4,'Exp Details'!$H$216:$H$223)</f>
        <v>0</v>
      </c>
      <c r="Y96" s="39">
        <f>SUMIF('Exp Details'!$D$216:$D$223,'Function-Grant'!Y$4,'Exp Details'!$H$216:$H$223)</f>
        <v>0</v>
      </c>
      <c r="Z96" s="39">
        <f>SUMIF('Exp Details'!$D$216:$D$223,'Function-Grant'!Z$4,'Exp Details'!$H$216:$H$223)</f>
        <v>0</v>
      </c>
      <c r="AA96" s="371">
        <f>SUMIF('Exp Details'!$D$216:$D$223,'Function-Grant'!AA$4,'Exp Details'!$H$216:$H$223)</f>
        <v>384</v>
      </c>
      <c r="AB96" s="39">
        <f>SUMIF('Exp Details'!$D$216:$D$223,'Function-Grant'!AB$4,'Exp Details'!$H$216:$H$223)</f>
        <v>0</v>
      </c>
      <c r="AC96" s="39">
        <f>SUMIF('Exp Details'!$D$216:$D$223,'Function-Grant'!AC$4,'Exp Details'!$H$216:$H$223)</f>
        <v>0</v>
      </c>
      <c r="AD96" s="39">
        <f>SUMIF('Exp Details'!$D$216:$D$223,'Function-Grant'!AD$4,'Exp Details'!$H$216:$H$223)</f>
        <v>0</v>
      </c>
      <c r="AE96" s="39">
        <f>SUMIF('Exp Details'!$D$216:$D$223,'Function-Grant'!AE$4,'Exp Details'!$H$216:$H$223)</f>
        <v>0</v>
      </c>
      <c r="AF96" s="39">
        <f>SUMIF('Exp Details'!$D$216:$D$223,'Function-Grant'!AF$4,'Exp Details'!$H$216:$H$223)</f>
        <v>0</v>
      </c>
      <c r="AG96" s="39">
        <f>SUMIF('Exp Details'!$D$216:$D$223,'Function-Grant'!AG$4,'Exp Details'!$H$216:$H$223)</f>
        <v>0</v>
      </c>
      <c r="AH96" s="39">
        <f>SUMIF('Exp Details'!$D$216:$D$223,'Function-Grant'!AH$4,'Exp Details'!$H$216:$H$223)</f>
        <v>0</v>
      </c>
      <c r="AI96" s="39">
        <f>SUMIF('Exp Details'!$D$216:$D$223,'Function-Grant'!AI$4,'Exp Details'!$H$216:$H$223)</f>
        <v>0</v>
      </c>
      <c r="AJ96" s="39">
        <f>SUMIF('Exp Details'!$D$216:$D$223,'Function-Grant'!AJ$4,'Exp Details'!$H$216:$H$223)</f>
        <v>0</v>
      </c>
      <c r="AK96" s="39">
        <f>SUMIF('Exp Details'!$D$216:$D$223,'Function-Grant'!AK$4,'Exp Details'!$H$216:$H$223)</f>
        <v>0</v>
      </c>
      <c r="AL96" s="39">
        <f>SUMIF('Exp Details'!$D$216:$D$223,'Function-Grant'!AL$4,'Exp Details'!$H$216:$H$223)</f>
        <v>0</v>
      </c>
      <c r="AM96" s="39">
        <f>SUMIF('Exp Details'!$D$216:$D$223,'Function-Grant'!AM$4,'Exp Details'!$H$216:$H$223)</f>
        <v>0</v>
      </c>
      <c r="AN96" s="41"/>
      <c r="AO96" s="59">
        <f t="shared" ref="AO96:AO102" si="43">SUM(E96:AN96)</f>
        <v>6384</v>
      </c>
      <c r="AP96" s="41"/>
      <c r="AQ96" s="260">
        <f>AO96-'FY21'!S96</f>
        <v>0</v>
      </c>
    </row>
    <row r="97" spans="3:43" s="37" customFormat="1" ht="12" x14ac:dyDescent="0.2">
      <c r="C97" s="200">
        <v>6612</v>
      </c>
      <c r="D97" s="37" t="s">
        <v>35</v>
      </c>
      <c r="E97" s="39">
        <f>SUMIF('Exp Details'!$D$227:$D$232,'Function-Grant'!E$4,'Exp Details'!$H$227:$H$232)</f>
        <v>0</v>
      </c>
      <c r="F97" s="39">
        <f>SUMIF('Exp Details'!$D$227:$D$232,'Function-Grant'!F$4,'Exp Details'!$H$227:$H$232)</f>
        <v>0</v>
      </c>
      <c r="G97" s="39">
        <f>SUMIF('Exp Details'!$D$227:$D$232,'Function-Grant'!G$4,'Exp Details'!$H$227:$H$232)</f>
        <v>0</v>
      </c>
      <c r="H97" s="39">
        <f>SUMIF('Exp Details'!$D$227:$D$232,'Function-Grant'!H$4,'Exp Details'!$H$227:$H$232)</f>
        <v>0</v>
      </c>
      <c r="I97" s="39">
        <f>SUMIF('Exp Details'!$D$227:$D$232,'Function-Grant'!I$4,'Exp Details'!$H$227:$H$232)</f>
        <v>0</v>
      </c>
      <c r="J97" s="39">
        <f>SUMIF('Exp Details'!$D$227:$D$232,'Function-Grant'!J$4,'Exp Details'!$H$227:$H$232)</f>
        <v>0</v>
      </c>
      <c r="K97" s="39">
        <f>SUMIF('Exp Details'!$D$227:$D$232,'Function-Grant'!K$4,'Exp Details'!$H$227:$H$232)</f>
        <v>0</v>
      </c>
      <c r="L97" s="39">
        <f>SUMIF('Exp Details'!$D$227:$D$232,'Function-Grant'!L$4,'Exp Details'!$H$227:$H$232)</f>
        <v>0</v>
      </c>
      <c r="M97" s="39">
        <f>SUMIF('Exp Details'!$D$227:$D$232,'Function-Grant'!M$4,'Exp Details'!$H$227:$H$232)</f>
        <v>0</v>
      </c>
      <c r="N97" s="39">
        <f>SUMIF('Exp Details'!$D$227:$D$232,'Function-Grant'!N$4,'Exp Details'!$H$227:$H$232)</f>
        <v>0</v>
      </c>
      <c r="O97" s="39">
        <f>SUMIF('Exp Details'!$D$227:$D$232,'Function-Grant'!O$4,'Exp Details'!$H$227:$H$232)</f>
        <v>0</v>
      </c>
      <c r="P97" s="39">
        <f>SUMIF('Exp Details'!$D$227:$D$232,'Function-Grant'!P$4,'Exp Details'!$H$227:$H$232)</f>
        <v>0</v>
      </c>
      <c r="Q97" s="39">
        <f>SUMIF('Exp Details'!$D$227:$D$232,'Function-Grant'!Q$4,'Exp Details'!$H$227:$H$232)</f>
        <v>0</v>
      </c>
      <c r="R97" s="39">
        <f>SUMIF('Exp Details'!$D$227:$D$232,'Function-Grant'!R$4,'Exp Details'!$H$227:$H$232)</f>
        <v>0</v>
      </c>
      <c r="S97" s="39">
        <f>SUMIF('Exp Details'!$D$227:$D$232,'Function-Grant'!S$4,'Exp Details'!$H$227:$H$232)</f>
        <v>0</v>
      </c>
      <c r="T97" s="39">
        <f>SUMIF('Exp Details'!$D$227:$D$232,'Function-Grant'!T$4,'Exp Details'!$H$227:$H$232)</f>
        <v>0</v>
      </c>
      <c r="U97" s="39">
        <f>SUMIF('Exp Details'!$D$227:$D$232,'Function-Grant'!U$4,'Exp Details'!$H$227:$H$232)</f>
        <v>0</v>
      </c>
      <c r="V97" s="39">
        <f>SUMIF('Exp Details'!$D$227:$D$232,'Function-Grant'!V$4,'Exp Details'!$H$227:$H$232)</f>
        <v>0</v>
      </c>
      <c r="W97" s="39">
        <f>SUMIF('Exp Details'!$D$227:$D$232,'Function-Grant'!W$4,'Exp Details'!$H$227:$H$232)</f>
        <v>0</v>
      </c>
      <c r="X97" s="39">
        <f>SUMIF('Exp Details'!$D$227:$D$232,'Function-Grant'!X$4,'Exp Details'!$H$227:$H$232)</f>
        <v>0</v>
      </c>
      <c r="Y97" s="39">
        <f>SUMIF('Exp Details'!$D$227:$D$232,'Function-Grant'!Y$4,'Exp Details'!$H$227:$H$232)</f>
        <v>0</v>
      </c>
      <c r="Z97" s="39">
        <f>SUMIF('Exp Details'!$D$227:$D$232,'Function-Grant'!Z$4,'Exp Details'!$H$227:$H$232)</f>
        <v>0</v>
      </c>
      <c r="AA97" s="39">
        <f>SUMIF('Exp Details'!$D$227:$D$232,'Function-Grant'!AA$4,'Exp Details'!$H$227:$H$232)</f>
        <v>0</v>
      </c>
      <c r="AB97" s="39">
        <f>SUMIF('Exp Details'!$D$227:$D$232,'Function-Grant'!AB$4,'Exp Details'!$H$227:$H$232)</f>
        <v>0</v>
      </c>
      <c r="AC97" s="39">
        <f>SUMIF('Exp Details'!$D$227:$D$232,'Function-Grant'!AC$4,'Exp Details'!$H$227:$H$232)</f>
        <v>0</v>
      </c>
      <c r="AD97" s="39">
        <f>SUMIF('Exp Details'!$D$227:$D$232,'Function-Grant'!AD$4,'Exp Details'!$H$227:$H$232)</f>
        <v>0</v>
      </c>
      <c r="AE97" s="39">
        <f>SUMIF('Exp Details'!$D$227:$D$232,'Function-Grant'!AE$4,'Exp Details'!$H$227:$H$232)</f>
        <v>0</v>
      </c>
      <c r="AF97" s="39">
        <f>SUMIF('Exp Details'!$D$227:$D$232,'Function-Grant'!AF$4,'Exp Details'!$H$227:$H$232)</f>
        <v>0</v>
      </c>
      <c r="AG97" s="39">
        <f>SUMIF('Exp Details'!$D$227:$D$232,'Function-Grant'!AG$4,'Exp Details'!$H$227:$H$232)</f>
        <v>0</v>
      </c>
      <c r="AH97" s="39">
        <f>SUMIF('Exp Details'!$D$227:$D$232,'Function-Grant'!AH$4,'Exp Details'!$H$227:$H$232)</f>
        <v>0</v>
      </c>
      <c r="AI97" s="39">
        <f>SUMIF('Exp Details'!$D$227:$D$232,'Function-Grant'!AI$4,'Exp Details'!$H$227:$H$232)</f>
        <v>0</v>
      </c>
      <c r="AJ97" s="39">
        <f>SUMIF('Exp Details'!$D$227:$D$232,'Function-Grant'!AJ$4,'Exp Details'!$H$227:$H$232)</f>
        <v>0</v>
      </c>
      <c r="AK97" s="39">
        <f>SUMIF('Exp Details'!$D$227:$D$232,'Function-Grant'!AK$4,'Exp Details'!$H$227:$H$232)</f>
        <v>0</v>
      </c>
      <c r="AL97" s="39">
        <f>SUMIF('Exp Details'!$D$227:$D$232,'Function-Grant'!AL$4,'Exp Details'!$H$227:$H$232)</f>
        <v>0</v>
      </c>
      <c r="AM97" s="39">
        <f>SUMIF('Exp Details'!$D$227:$D$232,'Function-Grant'!AM$4,'Exp Details'!$H$227:$H$232)</f>
        <v>0</v>
      </c>
      <c r="AN97" s="41"/>
      <c r="AO97" s="59">
        <f t="shared" si="43"/>
        <v>0</v>
      </c>
      <c r="AP97" s="41"/>
      <c r="AQ97" s="260">
        <f>AO97-'FY21'!S97</f>
        <v>0</v>
      </c>
    </row>
    <row r="98" spans="3:43" s="37" customFormat="1" ht="12" x14ac:dyDescent="0.2">
      <c r="C98" s="200">
        <v>6622</v>
      </c>
      <c r="D98" s="37" t="s">
        <v>36</v>
      </c>
      <c r="E98" s="39">
        <f>SUMIF('Exp Details'!$D$236:$D$238,'Function-Grant'!E$4,'Exp Details'!$H$236:$H$238)</f>
        <v>0</v>
      </c>
      <c r="F98" s="39">
        <f>SUMIF('Exp Details'!$D$236:$D$238,'Function-Grant'!F$4,'Exp Details'!$H$236:$H$238)</f>
        <v>0</v>
      </c>
      <c r="G98" s="39">
        <f>SUMIF('Exp Details'!$D$236:$D$238,'Function-Grant'!G$4,'Exp Details'!$H$236:$H$238)</f>
        <v>0</v>
      </c>
      <c r="H98" s="39">
        <f>SUMIF('Exp Details'!$D$236:$D$238,'Function-Grant'!H$4,'Exp Details'!$H$236:$H$238)</f>
        <v>0</v>
      </c>
      <c r="I98" s="39">
        <f>SUMIF('Exp Details'!$D$236:$D$238,'Function-Grant'!I$4,'Exp Details'!$H$236:$H$238)</f>
        <v>0</v>
      </c>
      <c r="J98" s="39">
        <f>SUMIF('Exp Details'!$D$236:$D$238,'Function-Grant'!J$4,'Exp Details'!$H$236:$H$238)</f>
        <v>0</v>
      </c>
      <c r="K98" s="39">
        <f>SUMIF('Exp Details'!$D$236:$D$238,'Function-Grant'!K$4,'Exp Details'!$H$236:$H$238)</f>
        <v>0</v>
      </c>
      <c r="L98" s="39">
        <f>SUMIF('Exp Details'!$D$236:$D$238,'Function-Grant'!L$4,'Exp Details'!$H$236:$H$238)</f>
        <v>0</v>
      </c>
      <c r="M98" s="39">
        <f>SUMIF('Exp Details'!$D$236:$D$238,'Function-Grant'!M$4,'Exp Details'!$H$236:$H$238)</f>
        <v>0</v>
      </c>
      <c r="N98" s="39">
        <f>SUMIF('Exp Details'!$D$236:$D$238,'Function-Grant'!N$4,'Exp Details'!$H$236:$H$238)</f>
        <v>0</v>
      </c>
      <c r="O98" s="39">
        <f>SUMIF('Exp Details'!$D$236:$D$238,'Function-Grant'!O$4,'Exp Details'!$H$236:$H$238)</f>
        <v>0</v>
      </c>
      <c r="P98" s="39">
        <f>SUMIF('Exp Details'!$D$236:$D$238,'Function-Grant'!P$4,'Exp Details'!$H$236:$H$238)</f>
        <v>0</v>
      </c>
      <c r="Q98" s="39">
        <f>SUMIF('Exp Details'!$D$236:$D$238,'Function-Grant'!Q$4,'Exp Details'!$H$236:$H$238)</f>
        <v>0</v>
      </c>
      <c r="R98" s="39">
        <f>SUMIF('Exp Details'!$D$236:$D$238,'Function-Grant'!R$4,'Exp Details'!$H$236:$H$238)</f>
        <v>0</v>
      </c>
      <c r="S98" s="39">
        <f>SUMIF('Exp Details'!$D$236:$D$238,'Function-Grant'!S$4,'Exp Details'!$H$236:$H$238)</f>
        <v>0</v>
      </c>
      <c r="T98" s="39">
        <f>SUMIF('Exp Details'!$D$236:$D$238,'Function-Grant'!T$4,'Exp Details'!$H$236:$H$238)</f>
        <v>0</v>
      </c>
      <c r="U98" s="371">
        <f>SUMIF('Exp Details'!$D$236:$D$238,'Function-Grant'!U$4,'Exp Details'!$H$236:$H$238)</f>
        <v>9600</v>
      </c>
      <c r="V98" s="39">
        <f>SUMIF('Exp Details'!$D$236:$D$238,'Function-Grant'!V$4,'Exp Details'!$H$236:$H$238)</f>
        <v>0</v>
      </c>
      <c r="W98" s="39">
        <f>SUMIF('Exp Details'!$D$236:$D$238,'Function-Grant'!W$4,'Exp Details'!$H$236:$H$238)</f>
        <v>0</v>
      </c>
      <c r="X98" s="39">
        <f>SUMIF('Exp Details'!$D$236:$D$238,'Function-Grant'!X$4,'Exp Details'!$H$236:$H$238)</f>
        <v>0</v>
      </c>
      <c r="Y98" s="39">
        <f>SUMIF('Exp Details'!$D$236:$D$238,'Function-Grant'!Y$4,'Exp Details'!$H$236:$H$238)</f>
        <v>0</v>
      </c>
      <c r="Z98" s="39">
        <f>SUMIF('Exp Details'!$D$236:$D$238,'Function-Grant'!Z$4,'Exp Details'!$H$236:$H$238)</f>
        <v>0</v>
      </c>
      <c r="AA98" s="39">
        <f>SUMIF('Exp Details'!$D$236:$D$238,'Function-Grant'!AA$4,'Exp Details'!$H$236:$H$238)</f>
        <v>0</v>
      </c>
      <c r="AB98" s="39">
        <f>SUMIF('Exp Details'!$D$236:$D$238,'Function-Grant'!AB$4,'Exp Details'!$H$236:$H$238)</f>
        <v>0</v>
      </c>
      <c r="AC98" s="39">
        <f>SUMIF('Exp Details'!$D$236:$D$238,'Function-Grant'!AC$4,'Exp Details'!$H$236:$H$238)</f>
        <v>0</v>
      </c>
      <c r="AD98" s="39">
        <f>SUMIF('Exp Details'!$D$236:$D$238,'Function-Grant'!AD$4,'Exp Details'!$H$236:$H$238)</f>
        <v>0</v>
      </c>
      <c r="AE98" s="39">
        <f>SUMIF('Exp Details'!$D$236:$D$238,'Function-Grant'!AE$4,'Exp Details'!$H$236:$H$238)</f>
        <v>0</v>
      </c>
      <c r="AF98" s="39">
        <f>SUMIF('Exp Details'!$D$236:$D$238,'Function-Grant'!AF$4,'Exp Details'!$H$236:$H$238)</f>
        <v>0</v>
      </c>
      <c r="AG98" s="39">
        <f>SUMIF('Exp Details'!$D$236:$D$238,'Function-Grant'!AG$4,'Exp Details'!$H$236:$H$238)</f>
        <v>0</v>
      </c>
      <c r="AH98" s="39">
        <f>SUMIF('Exp Details'!$D$236:$D$238,'Function-Grant'!AH$4,'Exp Details'!$H$236:$H$238)</f>
        <v>0</v>
      </c>
      <c r="AI98" s="39">
        <f>SUMIF('Exp Details'!$D$236:$D$238,'Function-Grant'!AI$4,'Exp Details'!$H$236:$H$238)</f>
        <v>0</v>
      </c>
      <c r="AJ98" s="39">
        <f>SUMIF('Exp Details'!$D$236:$D$238,'Function-Grant'!AJ$4,'Exp Details'!$H$236:$H$238)</f>
        <v>0</v>
      </c>
      <c r="AK98" s="39">
        <f>SUMIF('Exp Details'!$D$236:$D$238,'Function-Grant'!AK$4,'Exp Details'!$H$236:$H$238)</f>
        <v>0</v>
      </c>
      <c r="AL98" s="39">
        <f>SUMIF('Exp Details'!$D$236:$D$238,'Function-Grant'!AL$4,'Exp Details'!$H$236:$H$238)</f>
        <v>0</v>
      </c>
      <c r="AM98" s="39">
        <f>SUMIF('Exp Details'!$D$236:$D$238,'Function-Grant'!AM$4,'Exp Details'!$H$236:$H$238)</f>
        <v>0</v>
      </c>
      <c r="AN98" s="41"/>
      <c r="AO98" s="59">
        <f t="shared" si="43"/>
        <v>9600</v>
      </c>
      <c r="AP98" s="41"/>
      <c r="AQ98" s="260">
        <f>AO98-'FY21'!S98</f>
        <v>0</v>
      </c>
    </row>
    <row r="99" spans="3:43" s="37" customFormat="1" ht="12" x14ac:dyDescent="0.2">
      <c r="C99" s="200">
        <v>6641</v>
      </c>
      <c r="D99" s="37" t="s">
        <v>37</v>
      </c>
      <c r="E99" s="39">
        <f>SUMIF('Exp Details'!$D$242:$D$251,'Function-Grant'!E$4,'Exp Details'!$H$242:$H$251)</f>
        <v>0</v>
      </c>
      <c r="F99" s="371">
        <f>SUMIF('Exp Details'!$D$242:$D$251,'Function-Grant'!F$4,'Exp Details'!$H$242:$H$251)</f>
        <v>48050</v>
      </c>
      <c r="G99" s="39">
        <f>SUMIF('Exp Details'!$D$242:$D$251,'Function-Grant'!G$4,'Exp Details'!$H$242:$H$251)</f>
        <v>0</v>
      </c>
      <c r="H99" s="39">
        <f>SUMIF('Exp Details'!$D$242:$D$251,'Function-Grant'!H$4,'Exp Details'!$H$242:$H$251)</f>
        <v>0</v>
      </c>
      <c r="I99" s="39">
        <f>SUMIF('Exp Details'!$D$242:$D$251,'Function-Grant'!I$4,'Exp Details'!$H$242:$H$251)</f>
        <v>0</v>
      </c>
      <c r="J99" s="39">
        <f>SUMIF('Exp Details'!$D$242:$D$251,'Function-Grant'!J$4,'Exp Details'!$H$242:$H$251)</f>
        <v>0</v>
      </c>
      <c r="K99" s="39">
        <f>SUMIF('Exp Details'!$D$242:$D$251,'Function-Grant'!K$4,'Exp Details'!$H$242:$H$251)</f>
        <v>0</v>
      </c>
      <c r="L99" s="39">
        <f>SUMIF('Exp Details'!$D$242:$D$251,'Function-Grant'!L$4,'Exp Details'!$H$242:$H$251)</f>
        <v>0</v>
      </c>
      <c r="M99" s="39">
        <f>SUMIF('Exp Details'!$D$242:$D$251,'Function-Grant'!M$4,'Exp Details'!$H$242:$H$251)</f>
        <v>0</v>
      </c>
      <c r="N99" s="39">
        <f>SUMIF('Exp Details'!$D$242:$D$251,'Function-Grant'!N$4,'Exp Details'!$H$242:$H$251)</f>
        <v>0</v>
      </c>
      <c r="O99" s="39">
        <f>SUMIF('Exp Details'!$D$242:$D$251,'Function-Grant'!O$4,'Exp Details'!$H$242:$H$251)</f>
        <v>0</v>
      </c>
      <c r="P99" s="39">
        <f>SUMIF('Exp Details'!$D$242:$D$251,'Function-Grant'!P$4,'Exp Details'!$H$242:$H$251)</f>
        <v>0</v>
      </c>
      <c r="Q99" s="39">
        <f>SUMIF('Exp Details'!$D$242:$D$251,'Function-Grant'!Q$4,'Exp Details'!$H$242:$H$251)</f>
        <v>0</v>
      </c>
      <c r="R99" s="39">
        <f>SUMIF('Exp Details'!$D$242:$D$251,'Function-Grant'!R$4,'Exp Details'!$H$242:$H$251)</f>
        <v>0</v>
      </c>
      <c r="S99" s="39">
        <f>SUMIF('Exp Details'!$D$242:$D$251,'Function-Grant'!S$4,'Exp Details'!$H$242:$H$251)</f>
        <v>0</v>
      </c>
      <c r="T99" s="39">
        <f>SUMIF('Exp Details'!$D$242:$D$251,'Function-Grant'!T$4,'Exp Details'!$H$242:$H$251)</f>
        <v>0</v>
      </c>
      <c r="U99" s="39">
        <f>SUMIF('Exp Details'!$D$242:$D$251,'Function-Grant'!U$4,'Exp Details'!$H$242:$H$251)</f>
        <v>0</v>
      </c>
      <c r="V99" s="39">
        <f>SUMIF('Exp Details'!$D$242:$D$251,'Function-Grant'!V$4,'Exp Details'!$H$242:$H$251)</f>
        <v>0</v>
      </c>
      <c r="W99" s="39">
        <f>SUMIF('Exp Details'!$D$242:$D$251,'Function-Grant'!W$4,'Exp Details'!$H$242:$H$251)</f>
        <v>0</v>
      </c>
      <c r="X99" s="39">
        <f>SUMIF('Exp Details'!$D$242:$D$251,'Function-Grant'!X$4,'Exp Details'!$H$242:$H$251)</f>
        <v>0</v>
      </c>
      <c r="Y99" s="39">
        <f>SUMIF('Exp Details'!$D$242:$D$251,'Function-Grant'!Y$4,'Exp Details'!$H$242:$H$251)</f>
        <v>0</v>
      </c>
      <c r="Z99" s="39">
        <f>SUMIF('Exp Details'!$D$242:$D$251,'Function-Grant'!Z$4,'Exp Details'!$H$242:$H$251)</f>
        <v>0</v>
      </c>
      <c r="AA99" s="39">
        <f>SUMIF('Exp Details'!$D$242:$D$251,'Function-Grant'!AA$4,'Exp Details'!$H$242:$H$251)</f>
        <v>0</v>
      </c>
      <c r="AB99" s="39">
        <f>SUMIF('Exp Details'!$D$242:$D$251,'Function-Grant'!AB$4,'Exp Details'!$H$242:$H$251)</f>
        <v>0</v>
      </c>
      <c r="AC99" s="39">
        <f>SUMIF('Exp Details'!$D$242:$D$251,'Function-Grant'!AC$4,'Exp Details'!$H$242:$H$251)</f>
        <v>0</v>
      </c>
      <c r="AD99" s="39">
        <f>SUMIF('Exp Details'!$D$242:$D$251,'Function-Grant'!AD$4,'Exp Details'!$H$242:$H$251)</f>
        <v>0</v>
      </c>
      <c r="AE99" s="39">
        <f>SUMIF('Exp Details'!$D$242:$D$251,'Function-Grant'!AE$4,'Exp Details'!$H$242:$H$251)</f>
        <v>0</v>
      </c>
      <c r="AF99" s="39">
        <f>SUMIF('Exp Details'!$D$242:$D$251,'Function-Grant'!AF$4,'Exp Details'!$H$242:$H$251)</f>
        <v>0</v>
      </c>
      <c r="AG99" s="39">
        <f>SUMIF('Exp Details'!$D$242:$D$251,'Function-Grant'!AG$4,'Exp Details'!$H$242:$H$251)</f>
        <v>0</v>
      </c>
      <c r="AH99" s="39">
        <f>SUMIF('Exp Details'!$D$242:$D$251,'Function-Grant'!AH$4,'Exp Details'!$H$242:$H$251)</f>
        <v>0</v>
      </c>
      <c r="AI99" s="39">
        <f>SUMIF('Exp Details'!$D$242:$D$251,'Function-Grant'!AI$4,'Exp Details'!$H$242:$H$251)</f>
        <v>0</v>
      </c>
      <c r="AJ99" s="39">
        <f>SUMIF('Exp Details'!$D$242:$D$251,'Function-Grant'!AJ$4,'Exp Details'!$H$242:$H$251)</f>
        <v>0</v>
      </c>
      <c r="AK99" s="39">
        <f>SUMIF('Exp Details'!$D$242:$D$251,'Function-Grant'!AK$4,'Exp Details'!$H$242:$H$251)</f>
        <v>0</v>
      </c>
      <c r="AL99" s="39">
        <f>SUMIF('Exp Details'!$D$242:$D$251,'Function-Grant'!AL$4,'Exp Details'!$H$242:$H$251)</f>
        <v>0</v>
      </c>
      <c r="AM99" s="39">
        <f>SUMIF('Exp Details'!$D$242:$D$251,'Function-Grant'!AM$4,'Exp Details'!$H$242:$H$251)</f>
        <v>0</v>
      </c>
      <c r="AN99" s="41"/>
      <c r="AO99" s="59">
        <f t="shared" si="43"/>
        <v>48050</v>
      </c>
      <c r="AP99" s="41"/>
      <c r="AQ99" s="260">
        <f>AO99-'FY21'!S99</f>
        <v>0</v>
      </c>
    </row>
    <row r="100" spans="3:43" s="37" customFormat="1" ht="12" x14ac:dyDescent="0.2">
      <c r="C100" s="200">
        <v>6642</v>
      </c>
      <c r="D100" s="37" t="s">
        <v>38</v>
      </c>
      <c r="E100" s="39">
        <f>SUMIF('Exp Details'!$D$255:$D$260,'Function-Grant'!E$4,'Exp Details'!$H$255:$H$260)</f>
        <v>0</v>
      </c>
      <c r="F100" s="371">
        <f>SUMIF('Exp Details'!$D$255:$D$260,'Function-Grant'!F$4,'Exp Details'!$H$255:$H$260)</f>
        <v>63450</v>
      </c>
      <c r="G100" s="39">
        <f>SUMIF('Exp Details'!$D$255:$D$260,'Function-Grant'!G$4,'Exp Details'!$H$255:$H$260)</f>
        <v>0</v>
      </c>
      <c r="H100" s="39">
        <f>SUMIF('Exp Details'!$D$255:$D$260,'Function-Grant'!H$4,'Exp Details'!$H$255:$H$260)</f>
        <v>0</v>
      </c>
      <c r="I100" s="39">
        <f>SUMIF('Exp Details'!$D$255:$D$260,'Function-Grant'!I$4,'Exp Details'!$H$255:$H$260)</f>
        <v>0</v>
      </c>
      <c r="J100" s="39">
        <f>SUMIF('Exp Details'!$D$255:$D$260,'Function-Grant'!J$4,'Exp Details'!$H$255:$H$260)</f>
        <v>0</v>
      </c>
      <c r="K100" s="39">
        <f>SUMIF('Exp Details'!$D$255:$D$260,'Function-Grant'!K$4,'Exp Details'!$H$255:$H$260)</f>
        <v>0</v>
      </c>
      <c r="L100" s="39">
        <f>SUMIF('Exp Details'!$D$255:$D$260,'Function-Grant'!L$4,'Exp Details'!$H$255:$H$260)</f>
        <v>0</v>
      </c>
      <c r="M100" s="39">
        <f>SUMIF('Exp Details'!$D$255:$D$260,'Function-Grant'!M$4,'Exp Details'!$H$255:$H$260)</f>
        <v>0</v>
      </c>
      <c r="N100" s="39">
        <f>SUMIF('Exp Details'!$D$255:$D$260,'Function-Grant'!N$4,'Exp Details'!$H$255:$H$260)</f>
        <v>0</v>
      </c>
      <c r="O100" s="39">
        <f>SUMIF('Exp Details'!$D$255:$D$260,'Function-Grant'!O$4,'Exp Details'!$H$255:$H$260)</f>
        <v>0</v>
      </c>
      <c r="P100" s="39">
        <f>SUMIF('Exp Details'!$D$255:$D$260,'Function-Grant'!P$4,'Exp Details'!$H$255:$H$260)</f>
        <v>0</v>
      </c>
      <c r="Q100" s="39">
        <f>SUMIF('Exp Details'!$D$255:$D$260,'Function-Grant'!Q$4,'Exp Details'!$H$255:$H$260)</f>
        <v>0</v>
      </c>
      <c r="R100" s="39">
        <f>SUMIF('Exp Details'!$D$255:$D$260,'Function-Grant'!R$4,'Exp Details'!$H$255:$H$260)</f>
        <v>0</v>
      </c>
      <c r="S100" s="39">
        <f>SUMIF('Exp Details'!$D$255:$D$260,'Function-Grant'!S$4,'Exp Details'!$H$255:$H$260)</f>
        <v>0</v>
      </c>
      <c r="T100" s="39">
        <f>SUMIF('Exp Details'!$D$255:$D$260,'Function-Grant'!T$4,'Exp Details'!$H$255:$H$260)</f>
        <v>0</v>
      </c>
      <c r="U100" s="39">
        <f>SUMIF('Exp Details'!$D$255:$D$260,'Function-Grant'!U$4,'Exp Details'!$H$255:$H$260)</f>
        <v>0</v>
      </c>
      <c r="V100" s="39">
        <f>SUMIF('Exp Details'!$D$255:$D$260,'Function-Grant'!V$4,'Exp Details'!$H$255:$H$260)</f>
        <v>0</v>
      </c>
      <c r="W100" s="39">
        <f>SUMIF('Exp Details'!$D$255:$D$260,'Function-Grant'!W$4,'Exp Details'!$H$255:$H$260)</f>
        <v>0</v>
      </c>
      <c r="X100" s="39">
        <f>SUMIF('Exp Details'!$D$255:$D$260,'Function-Grant'!X$4,'Exp Details'!$H$255:$H$260)</f>
        <v>0</v>
      </c>
      <c r="Y100" s="39">
        <f>SUMIF('Exp Details'!$D$255:$D$260,'Function-Grant'!Y$4,'Exp Details'!$H$255:$H$260)</f>
        <v>0</v>
      </c>
      <c r="Z100" s="39">
        <f>SUMIF('Exp Details'!$D$255:$D$260,'Function-Grant'!Z$4,'Exp Details'!$H$255:$H$260)</f>
        <v>0</v>
      </c>
      <c r="AA100" s="39">
        <f>SUMIF('Exp Details'!$D$255:$D$260,'Function-Grant'!AA$4,'Exp Details'!$H$255:$H$260)</f>
        <v>0</v>
      </c>
      <c r="AB100" s="39">
        <f>SUMIF('Exp Details'!$D$255:$D$260,'Function-Grant'!AB$4,'Exp Details'!$H$255:$H$260)</f>
        <v>0</v>
      </c>
      <c r="AC100" s="39">
        <f>SUMIF('Exp Details'!$D$255:$D$260,'Function-Grant'!AC$4,'Exp Details'!$H$255:$H$260)</f>
        <v>0</v>
      </c>
      <c r="AD100" s="39">
        <f>SUMIF('Exp Details'!$D$255:$D$260,'Function-Grant'!AD$4,'Exp Details'!$H$255:$H$260)</f>
        <v>0</v>
      </c>
      <c r="AE100" s="39">
        <f>SUMIF('Exp Details'!$D$255:$D$260,'Function-Grant'!AE$4,'Exp Details'!$H$255:$H$260)</f>
        <v>0</v>
      </c>
      <c r="AF100" s="39">
        <f>SUMIF('Exp Details'!$D$255:$D$260,'Function-Grant'!AF$4,'Exp Details'!$H$255:$H$260)</f>
        <v>0</v>
      </c>
      <c r="AG100" s="39">
        <f>SUMIF('Exp Details'!$D$255:$D$260,'Function-Grant'!AG$4,'Exp Details'!$H$255:$H$260)</f>
        <v>0</v>
      </c>
      <c r="AH100" s="39">
        <f>SUMIF('Exp Details'!$D$255:$D$260,'Function-Grant'!AH$4,'Exp Details'!$H$255:$H$260)</f>
        <v>0</v>
      </c>
      <c r="AI100" s="39">
        <f>SUMIF('Exp Details'!$D$255:$D$260,'Function-Grant'!AI$4,'Exp Details'!$H$255:$H$260)</f>
        <v>0</v>
      </c>
      <c r="AJ100" s="39">
        <f>SUMIF('Exp Details'!$D$255:$D$260,'Function-Grant'!AJ$4,'Exp Details'!$H$255:$H$260)</f>
        <v>0</v>
      </c>
      <c r="AK100" s="39">
        <f>SUMIF('Exp Details'!$D$255:$D$260,'Function-Grant'!AK$4,'Exp Details'!$H$255:$H$260)</f>
        <v>0</v>
      </c>
      <c r="AL100" s="39">
        <f>SUMIF('Exp Details'!$D$255:$D$260,'Function-Grant'!AL$4,'Exp Details'!$H$255:$H$260)</f>
        <v>0</v>
      </c>
      <c r="AM100" s="39">
        <f>SUMIF('Exp Details'!$D$255:$D$260,'Function-Grant'!AM$4,'Exp Details'!$H$255:$H$260)</f>
        <v>0</v>
      </c>
      <c r="AN100" s="41"/>
      <c r="AO100" s="59">
        <f t="shared" si="43"/>
        <v>63450</v>
      </c>
      <c r="AP100" s="41"/>
      <c r="AQ100" s="260">
        <f>AO100-'FY21'!S100</f>
        <v>0</v>
      </c>
    </row>
    <row r="101" spans="3:43" s="37" customFormat="1" ht="12" x14ac:dyDescent="0.2">
      <c r="C101" s="200">
        <v>6651</v>
      </c>
      <c r="D101" s="37" t="s">
        <v>39</v>
      </c>
      <c r="E101" s="39">
        <f>SUMIF('Exp Details'!$D$264:$D$269,'Function-Grant'!E$4,'Exp Details'!$H$264:$H$269)</f>
        <v>0</v>
      </c>
      <c r="F101" s="39">
        <f>SUMIF('Exp Details'!$D$264:$D$269,'Function-Grant'!F$4,'Exp Details'!$H$264:$H$269)</f>
        <v>0</v>
      </c>
      <c r="G101" s="39">
        <f>SUMIF('Exp Details'!$D$264:$D$269,'Function-Grant'!G$4,'Exp Details'!$H$264:$H$269)</f>
        <v>0</v>
      </c>
      <c r="H101" s="39">
        <f>SUMIF('Exp Details'!$D$264:$D$269,'Function-Grant'!H$4,'Exp Details'!$H$264:$H$269)</f>
        <v>0</v>
      </c>
      <c r="I101" s="39">
        <f>SUMIF('Exp Details'!$D$264:$D$269,'Function-Grant'!I$4,'Exp Details'!$H$264:$H$269)</f>
        <v>0</v>
      </c>
      <c r="J101" s="39">
        <f>SUMIF('Exp Details'!$D$264:$D$269,'Function-Grant'!J$4,'Exp Details'!$H$264:$H$269)</f>
        <v>0</v>
      </c>
      <c r="K101" s="39">
        <f>SUMIF('Exp Details'!$D$264:$D$269,'Function-Grant'!K$4,'Exp Details'!$H$264:$H$269)</f>
        <v>0</v>
      </c>
      <c r="L101" s="39">
        <f>SUMIF('Exp Details'!$D$264:$D$269,'Function-Grant'!L$4,'Exp Details'!$H$264:$H$269)</f>
        <v>0</v>
      </c>
      <c r="M101" s="39">
        <f>SUMIF('Exp Details'!$D$264:$D$269,'Function-Grant'!M$4,'Exp Details'!$H$264:$H$269)</f>
        <v>0</v>
      </c>
      <c r="N101" s="39">
        <f>SUMIF('Exp Details'!$D$264:$D$269,'Function-Grant'!N$4,'Exp Details'!$H$264:$H$269)</f>
        <v>0</v>
      </c>
      <c r="O101" s="39">
        <f>SUMIF('Exp Details'!$D$264:$D$269,'Function-Grant'!O$4,'Exp Details'!$H$264:$H$269)</f>
        <v>0</v>
      </c>
      <c r="P101" s="39">
        <f>SUMIF('Exp Details'!$D$264:$D$269,'Function-Grant'!P$4,'Exp Details'!$H$264:$H$269)</f>
        <v>0</v>
      </c>
      <c r="Q101" s="39">
        <f>SUMIF('Exp Details'!$D$264:$D$269,'Function-Grant'!Q$4,'Exp Details'!$H$264:$H$269)</f>
        <v>0</v>
      </c>
      <c r="R101" s="39">
        <f>SUMIF('Exp Details'!$D$264:$D$269,'Function-Grant'!R$4,'Exp Details'!$H$264:$H$269)</f>
        <v>0</v>
      </c>
      <c r="S101" s="39">
        <f>SUMIF('Exp Details'!$D$264:$D$269,'Function-Grant'!S$4,'Exp Details'!$H$264:$H$269)</f>
        <v>0</v>
      </c>
      <c r="T101" s="39">
        <f>SUMIF('Exp Details'!$D$264:$D$269,'Function-Grant'!T$4,'Exp Details'!$H$264:$H$269)</f>
        <v>0</v>
      </c>
      <c r="U101" s="39">
        <f>SUMIF('Exp Details'!$D$264:$D$269,'Function-Grant'!U$4,'Exp Details'!$H$264:$H$269)</f>
        <v>0</v>
      </c>
      <c r="V101" s="39">
        <f>SUMIF('Exp Details'!$D$264:$D$269,'Function-Grant'!V$4,'Exp Details'!$H$264:$H$269)</f>
        <v>0</v>
      </c>
      <c r="W101" s="39">
        <f>SUMIF('Exp Details'!$D$264:$D$269,'Function-Grant'!W$4,'Exp Details'!$H$264:$H$269)</f>
        <v>0</v>
      </c>
      <c r="X101" s="39">
        <f>SUMIF('Exp Details'!$D$264:$D$269,'Function-Grant'!X$4,'Exp Details'!$H$264:$H$269)</f>
        <v>0</v>
      </c>
      <c r="Y101" s="39">
        <f>SUMIF('Exp Details'!$D$264:$D$269,'Function-Grant'!Y$4,'Exp Details'!$H$264:$H$269)</f>
        <v>0</v>
      </c>
      <c r="Z101" s="39">
        <f>SUMIF('Exp Details'!$D$264:$D$269,'Function-Grant'!Z$4,'Exp Details'!$H$264:$H$269)</f>
        <v>0</v>
      </c>
      <c r="AA101" s="39">
        <f>SUMIF('Exp Details'!$D$264:$D$269,'Function-Grant'!AA$4,'Exp Details'!$H$264:$H$269)</f>
        <v>0</v>
      </c>
      <c r="AB101" s="39">
        <f>SUMIF('Exp Details'!$D$264:$D$269,'Function-Grant'!AB$4,'Exp Details'!$H$264:$H$269)</f>
        <v>0</v>
      </c>
      <c r="AC101" s="39">
        <f>SUMIF('Exp Details'!$D$264:$D$269,'Function-Grant'!AC$4,'Exp Details'!$H$264:$H$269)</f>
        <v>0</v>
      </c>
      <c r="AD101" s="39">
        <f>SUMIF('Exp Details'!$D$264:$D$269,'Function-Grant'!AD$4,'Exp Details'!$H$264:$H$269)</f>
        <v>0</v>
      </c>
      <c r="AE101" s="39">
        <f>SUMIF('Exp Details'!$D$264:$D$269,'Function-Grant'!AE$4,'Exp Details'!$H$264:$H$269)</f>
        <v>0</v>
      </c>
      <c r="AF101" s="39">
        <f>SUMIF('Exp Details'!$D$264:$D$269,'Function-Grant'!AF$4,'Exp Details'!$H$264:$H$269)</f>
        <v>0</v>
      </c>
      <c r="AG101" s="39">
        <f>SUMIF('Exp Details'!$D$264:$D$269,'Function-Grant'!AG$4,'Exp Details'!$H$264:$H$269)</f>
        <v>0</v>
      </c>
      <c r="AH101" s="39">
        <f>SUMIF('Exp Details'!$D$264:$D$269,'Function-Grant'!AH$4,'Exp Details'!$H$264:$H$269)</f>
        <v>0</v>
      </c>
      <c r="AI101" s="39">
        <f>SUMIF('Exp Details'!$D$264:$D$269,'Function-Grant'!AI$4,'Exp Details'!$H$264:$H$269)</f>
        <v>0</v>
      </c>
      <c r="AJ101" s="39">
        <f>SUMIF('Exp Details'!$D$264:$D$269,'Function-Grant'!AJ$4,'Exp Details'!$H$264:$H$269)</f>
        <v>0</v>
      </c>
      <c r="AK101" s="39">
        <f>SUMIF('Exp Details'!$D$264:$D$269,'Function-Grant'!AK$4,'Exp Details'!$H$264:$H$269)</f>
        <v>0</v>
      </c>
      <c r="AL101" s="39">
        <f>SUMIF('Exp Details'!$D$264:$D$269,'Function-Grant'!AL$4,'Exp Details'!$H$264:$H$269)</f>
        <v>0</v>
      </c>
      <c r="AM101" s="39">
        <f>SUMIF('Exp Details'!$D$264:$D$269,'Function-Grant'!AM$4,'Exp Details'!$H$264:$H$269)</f>
        <v>0</v>
      </c>
      <c r="AN101" s="41"/>
      <c r="AO101" s="59">
        <f t="shared" si="43"/>
        <v>0</v>
      </c>
      <c r="AP101" s="41"/>
      <c r="AQ101" s="260">
        <f>AO101-'FY21'!S101</f>
        <v>0</v>
      </c>
    </row>
    <row r="102" spans="3:43" s="37" customFormat="1" ht="12" x14ac:dyDescent="0.2">
      <c r="C102" s="200">
        <v>6652</v>
      </c>
      <c r="D102" s="37" t="s">
        <v>40</v>
      </c>
      <c r="E102" s="39">
        <f>SUMIF('Exp Details'!$D$273:$D$278,'Function-Grant'!E$4,'Exp Details'!$H$273:$H$278)</f>
        <v>0</v>
      </c>
      <c r="F102" s="39">
        <f>SUMIF('Exp Details'!$D$273:$D$278,'Function-Grant'!F$4,'Exp Details'!$H$273:$H$278)</f>
        <v>0</v>
      </c>
      <c r="G102" s="39">
        <f>SUMIF('Exp Details'!$D$273:$D$278,'Function-Grant'!G$4,'Exp Details'!$H$273:$H$278)</f>
        <v>0</v>
      </c>
      <c r="H102" s="39">
        <f>SUMIF('Exp Details'!$D$273:$D$278,'Function-Grant'!H$4,'Exp Details'!$H$273:$H$278)</f>
        <v>0</v>
      </c>
      <c r="I102" s="39">
        <f>SUMIF('Exp Details'!$D$273:$D$278,'Function-Grant'!I$4,'Exp Details'!$H$273:$H$278)</f>
        <v>0</v>
      </c>
      <c r="J102" s="39">
        <f>SUMIF('Exp Details'!$D$273:$D$278,'Function-Grant'!J$4,'Exp Details'!$H$273:$H$278)</f>
        <v>0</v>
      </c>
      <c r="K102" s="39">
        <f>SUMIF('Exp Details'!$D$273:$D$278,'Function-Grant'!K$4,'Exp Details'!$H$273:$H$278)</f>
        <v>0</v>
      </c>
      <c r="L102" s="39">
        <f>SUMIF('Exp Details'!$D$273:$D$278,'Function-Grant'!L$4,'Exp Details'!$H$273:$H$278)</f>
        <v>0</v>
      </c>
      <c r="M102" s="39">
        <f>SUMIF('Exp Details'!$D$273:$D$278,'Function-Grant'!M$4,'Exp Details'!$H$273:$H$278)</f>
        <v>0</v>
      </c>
      <c r="N102" s="39">
        <f>SUMIF('Exp Details'!$D$273:$D$278,'Function-Grant'!N$4,'Exp Details'!$H$273:$H$278)</f>
        <v>0</v>
      </c>
      <c r="O102" s="39">
        <f>SUMIF('Exp Details'!$D$273:$D$278,'Function-Grant'!O$4,'Exp Details'!$H$273:$H$278)</f>
        <v>0</v>
      </c>
      <c r="P102" s="39">
        <f>SUMIF('Exp Details'!$D$273:$D$278,'Function-Grant'!P$4,'Exp Details'!$H$273:$H$278)</f>
        <v>0</v>
      </c>
      <c r="Q102" s="39">
        <f>SUMIF('Exp Details'!$D$273:$D$278,'Function-Grant'!Q$4,'Exp Details'!$H$273:$H$278)</f>
        <v>0</v>
      </c>
      <c r="R102" s="39">
        <f>SUMIF('Exp Details'!$D$273:$D$278,'Function-Grant'!R$4,'Exp Details'!$H$273:$H$278)</f>
        <v>0</v>
      </c>
      <c r="S102" s="39">
        <f>SUMIF('Exp Details'!$D$273:$D$278,'Function-Grant'!S$4,'Exp Details'!$H$273:$H$278)</f>
        <v>0</v>
      </c>
      <c r="T102" s="39">
        <f>SUMIF('Exp Details'!$D$273:$D$278,'Function-Grant'!T$4,'Exp Details'!$H$273:$H$278)</f>
        <v>0</v>
      </c>
      <c r="U102" s="39">
        <f>SUMIF('Exp Details'!$D$273:$D$278,'Function-Grant'!U$4,'Exp Details'!$H$273:$H$278)</f>
        <v>0</v>
      </c>
      <c r="V102" s="39">
        <f>SUMIF('Exp Details'!$D$273:$D$278,'Function-Grant'!V$4,'Exp Details'!$H$273:$H$278)</f>
        <v>0</v>
      </c>
      <c r="W102" s="39">
        <f>SUMIF('Exp Details'!$D$273:$D$278,'Function-Grant'!W$4,'Exp Details'!$H$273:$H$278)</f>
        <v>0</v>
      </c>
      <c r="X102" s="39">
        <f>SUMIF('Exp Details'!$D$273:$D$278,'Function-Grant'!X$4,'Exp Details'!$H$273:$H$278)</f>
        <v>0</v>
      </c>
      <c r="Y102" s="39">
        <f>SUMIF('Exp Details'!$D$273:$D$278,'Function-Grant'!Y$4,'Exp Details'!$H$273:$H$278)</f>
        <v>0</v>
      </c>
      <c r="Z102" s="39">
        <f>SUMIF('Exp Details'!$D$273:$D$278,'Function-Grant'!Z$4,'Exp Details'!$H$273:$H$278)</f>
        <v>0</v>
      </c>
      <c r="AA102" s="39">
        <f>SUMIF('Exp Details'!$D$273:$D$278,'Function-Grant'!AA$4,'Exp Details'!$H$273:$H$278)</f>
        <v>0</v>
      </c>
      <c r="AB102" s="39">
        <f>SUMIF('Exp Details'!$D$273:$D$278,'Function-Grant'!AB$4,'Exp Details'!$H$273:$H$278)</f>
        <v>0</v>
      </c>
      <c r="AC102" s="39">
        <f>SUMIF('Exp Details'!$D$273:$D$278,'Function-Grant'!AC$4,'Exp Details'!$H$273:$H$278)</f>
        <v>0</v>
      </c>
      <c r="AD102" s="39">
        <f>SUMIF('Exp Details'!$D$273:$D$278,'Function-Grant'!AD$4,'Exp Details'!$H$273:$H$278)</f>
        <v>0</v>
      </c>
      <c r="AE102" s="39">
        <f>SUMIF('Exp Details'!$D$273:$D$278,'Function-Grant'!AE$4,'Exp Details'!$H$273:$H$278)</f>
        <v>0</v>
      </c>
      <c r="AF102" s="39">
        <f>SUMIF('Exp Details'!$D$273:$D$278,'Function-Grant'!AF$4,'Exp Details'!$H$273:$H$278)</f>
        <v>0</v>
      </c>
      <c r="AG102" s="39">
        <f>SUMIF('Exp Details'!$D$273:$D$278,'Function-Grant'!AG$4,'Exp Details'!$H$273:$H$278)</f>
        <v>0</v>
      </c>
      <c r="AH102" s="39">
        <f>SUMIF('Exp Details'!$D$273:$D$278,'Function-Grant'!AH$4,'Exp Details'!$H$273:$H$278)</f>
        <v>0</v>
      </c>
      <c r="AI102" s="39">
        <f>SUMIF('Exp Details'!$D$273:$D$278,'Function-Grant'!AI$4,'Exp Details'!$H$273:$H$278)</f>
        <v>0</v>
      </c>
      <c r="AJ102" s="39">
        <f>SUMIF('Exp Details'!$D$273:$D$278,'Function-Grant'!AJ$4,'Exp Details'!$H$273:$H$278)</f>
        <v>0</v>
      </c>
      <c r="AK102" s="39">
        <f>SUMIF('Exp Details'!$D$273:$D$278,'Function-Grant'!AK$4,'Exp Details'!$H$273:$H$278)</f>
        <v>0</v>
      </c>
      <c r="AL102" s="39">
        <f>SUMIF('Exp Details'!$D$273:$D$278,'Function-Grant'!AL$4,'Exp Details'!$H$273:$H$278)</f>
        <v>0</v>
      </c>
      <c r="AM102" s="39">
        <f>SUMIF('Exp Details'!$D$273:$D$278,'Function-Grant'!AM$4,'Exp Details'!$H$273:$H$278)</f>
        <v>0</v>
      </c>
      <c r="AN102" s="41"/>
      <c r="AO102" s="59">
        <f t="shared" si="43"/>
        <v>0</v>
      </c>
      <c r="AP102" s="41"/>
      <c r="AQ102" s="260">
        <f>AO102-'FY21'!S102</f>
        <v>0</v>
      </c>
    </row>
    <row r="103" spans="3:43" s="37" customFormat="1" ht="12" x14ac:dyDescent="0.2">
      <c r="C103" s="38"/>
      <c r="E103" s="50">
        <f t="shared" ref="E103:AM103" si="44">SUBTOTAL(9,E96:E102)</f>
        <v>0</v>
      </c>
      <c r="F103" s="50">
        <f>SUBTOTAL(9,F96:F102)</f>
        <v>112700</v>
      </c>
      <c r="G103" s="50">
        <f>SUBTOTAL(9,G96:G102)</f>
        <v>0</v>
      </c>
      <c r="H103" s="50">
        <f t="shared" si="44"/>
        <v>0</v>
      </c>
      <c r="I103" s="50">
        <f t="shared" si="44"/>
        <v>0</v>
      </c>
      <c r="J103" s="50">
        <f t="shared" si="44"/>
        <v>0</v>
      </c>
      <c r="K103" s="50">
        <f t="shared" si="44"/>
        <v>0</v>
      </c>
      <c r="L103" s="50">
        <f t="shared" si="44"/>
        <v>0</v>
      </c>
      <c r="M103" s="50">
        <f t="shared" si="44"/>
        <v>0</v>
      </c>
      <c r="N103" s="50">
        <f t="shared" si="44"/>
        <v>1200</v>
      </c>
      <c r="O103" s="50">
        <f t="shared" si="44"/>
        <v>3600</v>
      </c>
      <c r="P103" s="50">
        <f t="shared" ref="P103" si="45">SUBTOTAL(9,P96:P102)</f>
        <v>0</v>
      </c>
      <c r="Q103" s="50">
        <f t="shared" si="44"/>
        <v>0</v>
      </c>
      <c r="R103" s="50">
        <f t="shared" ref="R103:AH103" si="46">SUBTOTAL(9,R96:R102)</f>
        <v>0</v>
      </c>
      <c r="S103" s="50">
        <f t="shared" si="46"/>
        <v>0</v>
      </c>
      <c r="T103" s="50">
        <f t="shared" si="46"/>
        <v>0</v>
      </c>
      <c r="U103" s="50">
        <f t="shared" si="46"/>
        <v>9600</v>
      </c>
      <c r="V103" s="50">
        <f t="shared" si="46"/>
        <v>0</v>
      </c>
      <c r="W103" s="50">
        <f t="shared" ref="W103" si="47">SUBTOTAL(9,W96:W102)</f>
        <v>0</v>
      </c>
      <c r="X103" s="50">
        <f t="shared" si="46"/>
        <v>0</v>
      </c>
      <c r="Y103" s="50">
        <f t="shared" si="46"/>
        <v>0</v>
      </c>
      <c r="Z103" s="50">
        <f t="shared" si="46"/>
        <v>0</v>
      </c>
      <c r="AA103" s="50">
        <f t="shared" si="46"/>
        <v>384</v>
      </c>
      <c r="AB103" s="50">
        <f t="shared" si="46"/>
        <v>0</v>
      </c>
      <c r="AC103" s="50">
        <f t="shared" si="46"/>
        <v>0</v>
      </c>
      <c r="AD103" s="50">
        <f t="shared" si="46"/>
        <v>0</v>
      </c>
      <c r="AE103" s="50">
        <f t="shared" si="46"/>
        <v>0</v>
      </c>
      <c r="AF103" s="50">
        <f t="shared" si="46"/>
        <v>0</v>
      </c>
      <c r="AG103" s="50">
        <f t="shared" si="46"/>
        <v>0</v>
      </c>
      <c r="AH103" s="50">
        <f t="shared" si="46"/>
        <v>0</v>
      </c>
      <c r="AI103" s="50">
        <f t="shared" si="44"/>
        <v>0</v>
      </c>
      <c r="AJ103" s="50">
        <f t="shared" si="44"/>
        <v>0</v>
      </c>
      <c r="AK103" s="50">
        <f t="shared" si="44"/>
        <v>0</v>
      </c>
      <c r="AL103" s="50">
        <f t="shared" si="44"/>
        <v>0</v>
      </c>
      <c r="AM103" s="50">
        <f t="shared" si="44"/>
        <v>0</v>
      </c>
      <c r="AN103" s="41"/>
      <c r="AO103" s="61">
        <f t="shared" ref="AO103" si="48">SUBTOTAL(9,AO96:AO102)</f>
        <v>127484</v>
      </c>
      <c r="AP103" s="41"/>
      <c r="AQ103" s="260">
        <f>AO103-'FY21'!S103</f>
        <v>0</v>
      </c>
    </row>
    <row r="104" spans="3:4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41"/>
      <c r="AO104" s="59"/>
      <c r="AP104" s="41"/>
      <c r="AQ104" s="260">
        <f>AO104-'FY21'!S104</f>
        <v>0</v>
      </c>
    </row>
    <row r="105" spans="3:43" s="37" customFormat="1" ht="12" x14ac:dyDescent="0.2">
      <c r="C105" s="200">
        <v>6734</v>
      </c>
      <c r="D105" s="37" t="s">
        <v>41</v>
      </c>
      <c r="E105" s="39">
        <f>SUMIF('Exp Details'!$D$282:$D$287,'Function-Grant'!E$4,'Exp Details'!$H$282:$H$287)</f>
        <v>0</v>
      </c>
      <c r="F105" s="39">
        <f>SUMIF('Exp Details'!$D$282:$D$287,'Function-Grant'!F$4,'Exp Details'!$H$282:$H$287)</f>
        <v>0</v>
      </c>
      <c r="G105" s="39">
        <f>SUMIF('Exp Details'!$D$282:$D$287,'Function-Grant'!G$4,'Exp Details'!$H$282:$H$287)</f>
        <v>0</v>
      </c>
      <c r="H105" s="39">
        <f>SUMIF('Exp Details'!$D$282:$D$287,'Function-Grant'!H$4,'Exp Details'!$H$282:$H$287)</f>
        <v>0</v>
      </c>
      <c r="I105" s="39">
        <f>SUMIF('Exp Details'!$D$282:$D$287,'Function-Grant'!I$4,'Exp Details'!$H$282:$H$287)</f>
        <v>0</v>
      </c>
      <c r="J105" s="39">
        <f>SUMIF('Exp Details'!$D$282:$D$287,'Function-Grant'!J$4,'Exp Details'!$H$282:$H$287)</f>
        <v>0</v>
      </c>
      <c r="K105" s="39">
        <f>SUMIF('Exp Details'!$D$282:$D$287,'Function-Grant'!K$4,'Exp Details'!$H$282:$H$287)</f>
        <v>0</v>
      </c>
      <c r="L105" s="39">
        <f>SUMIF('Exp Details'!$D$282:$D$287,'Function-Grant'!L$4,'Exp Details'!$H$282:$H$287)</f>
        <v>0</v>
      </c>
      <c r="M105" s="39">
        <f>SUMIF('Exp Details'!$D$282:$D$287,'Function-Grant'!M$4,'Exp Details'!$H$282:$H$287)</f>
        <v>0</v>
      </c>
      <c r="N105" s="39">
        <f>SUMIF('Exp Details'!$D$282:$D$287,'Function-Grant'!N$4,'Exp Details'!$H$282:$H$287)</f>
        <v>0</v>
      </c>
      <c r="O105" s="39">
        <f>SUMIF('Exp Details'!$D$282:$D$287,'Function-Grant'!O$4,'Exp Details'!$H$282:$H$287)</f>
        <v>0</v>
      </c>
      <c r="P105" s="39">
        <f>SUMIF('Exp Details'!$D$282:$D$287,'Function-Grant'!P$4,'Exp Details'!$H$282:$H$287)</f>
        <v>0</v>
      </c>
      <c r="Q105" s="39">
        <f>SUMIF('Exp Details'!$D$282:$D$287,'Function-Grant'!Q$4,'Exp Details'!$H$282:$H$287)</f>
        <v>0</v>
      </c>
      <c r="R105" s="39">
        <f>SUMIF('Exp Details'!$D$282:$D$287,'Function-Grant'!R$4,'Exp Details'!$H$282:$H$287)</f>
        <v>0</v>
      </c>
      <c r="S105" s="39">
        <f>SUMIF('Exp Details'!$D$282:$D$287,'Function-Grant'!S$4,'Exp Details'!$H$282:$H$287)</f>
        <v>0</v>
      </c>
      <c r="T105" s="39">
        <f>SUMIF('Exp Details'!$D$282:$D$287,'Function-Grant'!T$4,'Exp Details'!$H$282:$H$287)</f>
        <v>0</v>
      </c>
      <c r="U105" s="39">
        <f>SUMIF('Exp Details'!$D$282:$D$287,'Function-Grant'!U$4,'Exp Details'!$H$282:$H$287)</f>
        <v>0</v>
      </c>
      <c r="V105" s="39">
        <f>SUMIF('Exp Details'!$D$282:$D$287,'Function-Grant'!V$4,'Exp Details'!$H$282:$H$287)</f>
        <v>0</v>
      </c>
      <c r="W105" s="39">
        <f>SUMIF('Exp Details'!$D$282:$D$287,'Function-Grant'!W$4,'Exp Details'!$H$282:$H$287)</f>
        <v>0</v>
      </c>
      <c r="X105" s="39">
        <f>SUMIF('Exp Details'!$D$282:$D$287,'Function-Grant'!X$4,'Exp Details'!$H$282:$H$287)</f>
        <v>0</v>
      </c>
      <c r="Y105" s="39">
        <f>SUMIF('Exp Details'!$D$282:$D$287,'Function-Grant'!Y$4,'Exp Details'!$H$282:$H$287)</f>
        <v>0</v>
      </c>
      <c r="Z105" s="39">
        <f>SUMIF('Exp Details'!$D$282:$D$287,'Function-Grant'!Z$4,'Exp Details'!$H$282:$H$287)</f>
        <v>0</v>
      </c>
      <c r="AA105" s="39">
        <f>SUMIF('Exp Details'!$D$282:$D$287,'Function-Grant'!AA$4,'Exp Details'!$H$282:$H$287)</f>
        <v>0</v>
      </c>
      <c r="AB105" s="39">
        <f>SUMIF('Exp Details'!$D$282:$D$287,'Function-Grant'!AB$4,'Exp Details'!$H$282:$H$287)</f>
        <v>0</v>
      </c>
      <c r="AC105" s="39">
        <f>SUMIF('Exp Details'!$D$282:$D$287,'Function-Grant'!AC$4,'Exp Details'!$H$282:$H$287)</f>
        <v>0</v>
      </c>
      <c r="AD105" s="39">
        <f>SUMIF('Exp Details'!$D$282:$D$287,'Function-Grant'!AD$4,'Exp Details'!$H$282:$H$287)</f>
        <v>0</v>
      </c>
      <c r="AE105" s="39">
        <f>SUMIF('Exp Details'!$D$282:$D$287,'Function-Grant'!AE$4,'Exp Details'!$H$282:$H$287)</f>
        <v>0</v>
      </c>
      <c r="AF105" s="39">
        <f>SUMIF('Exp Details'!$D$282:$D$287,'Function-Grant'!AF$4,'Exp Details'!$H$282:$H$287)</f>
        <v>0</v>
      </c>
      <c r="AG105" s="39">
        <f>SUMIF('Exp Details'!$D$282:$D$287,'Function-Grant'!AG$4,'Exp Details'!$H$282:$H$287)</f>
        <v>0</v>
      </c>
      <c r="AH105" s="39">
        <f>SUMIF('Exp Details'!$D$282:$D$287,'Function-Grant'!AH$4,'Exp Details'!$H$282:$H$287)</f>
        <v>0</v>
      </c>
      <c r="AI105" s="39">
        <f>SUMIF('Exp Details'!$D$282:$D$287,'Function-Grant'!AI$4,'Exp Details'!$H$282:$H$287)</f>
        <v>0</v>
      </c>
      <c r="AJ105" s="39">
        <f>SUMIF('Exp Details'!$D$282:$D$287,'Function-Grant'!AJ$4,'Exp Details'!$H$282:$H$287)</f>
        <v>0</v>
      </c>
      <c r="AK105" s="39">
        <f>SUMIF('Exp Details'!$D$282:$D$287,'Function-Grant'!AK$4,'Exp Details'!$H$282:$H$287)</f>
        <v>0</v>
      </c>
      <c r="AL105" s="39">
        <f>SUMIF('Exp Details'!$D$282:$D$287,'Function-Grant'!AL$4,'Exp Details'!$H$282:$H$287)</f>
        <v>0</v>
      </c>
      <c r="AM105" s="39">
        <f>SUMIF('Exp Details'!$D$282:$D$287,'Function-Grant'!AM$4,'Exp Details'!$H$282:$H$287)</f>
        <v>0</v>
      </c>
      <c r="AN105" s="41"/>
      <c r="AO105" s="59">
        <f>SUM(E105:AN105)</f>
        <v>0</v>
      </c>
      <c r="AP105" s="41"/>
      <c r="AQ105" s="260">
        <f>AO105-'FY21'!S105</f>
        <v>0</v>
      </c>
    </row>
    <row r="106" spans="3:43" s="37" customFormat="1" ht="12" x14ac:dyDescent="0.2">
      <c r="C106" s="38"/>
      <c r="E106" s="50">
        <f t="shared" ref="E106:AM106" si="49">SUBTOTAL(9,E105)</f>
        <v>0</v>
      </c>
      <c r="F106" s="50">
        <f>SUBTOTAL(9,F105)</f>
        <v>0</v>
      </c>
      <c r="G106" s="50">
        <f>SUBTOTAL(9,G105)</f>
        <v>0</v>
      </c>
      <c r="H106" s="50">
        <f t="shared" si="49"/>
        <v>0</v>
      </c>
      <c r="I106" s="50">
        <f t="shared" si="49"/>
        <v>0</v>
      </c>
      <c r="J106" s="50">
        <f t="shared" si="49"/>
        <v>0</v>
      </c>
      <c r="K106" s="50">
        <f t="shared" si="49"/>
        <v>0</v>
      </c>
      <c r="L106" s="50">
        <f t="shared" si="49"/>
        <v>0</v>
      </c>
      <c r="M106" s="50">
        <f t="shared" si="49"/>
        <v>0</v>
      </c>
      <c r="N106" s="50">
        <f t="shared" si="49"/>
        <v>0</v>
      </c>
      <c r="O106" s="50">
        <f t="shared" si="49"/>
        <v>0</v>
      </c>
      <c r="P106" s="50">
        <f t="shared" ref="P106" si="50">SUBTOTAL(9,P105)</f>
        <v>0</v>
      </c>
      <c r="Q106" s="50">
        <f t="shared" si="49"/>
        <v>0</v>
      </c>
      <c r="R106" s="50">
        <f t="shared" ref="R106:AH106" si="51">SUBTOTAL(9,R105)</f>
        <v>0</v>
      </c>
      <c r="S106" s="50">
        <f t="shared" si="51"/>
        <v>0</v>
      </c>
      <c r="T106" s="50">
        <f t="shared" si="51"/>
        <v>0</v>
      </c>
      <c r="U106" s="50">
        <f t="shared" si="51"/>
        <v>0</v>
      </c>
      <c r="V106" s="50">
        <f t="shared" si="51"/>
        <v>0</v>
      </c>
      <c r="W106" s="50">
        <f t="shared" ref="W106" si="52">SUBTOTAL(9,W105)</f>
        <v>0</v>
      </c>
      <c r="X106" s="50">
        <f t="shared" si="51"/>
        <v>0</v>
      </c>
      <c r="Y106" s="50">
        <f t="shared" si="51"/>
        <v>0</v>
      </c>
      <c r="Z106" s="50">
        <f t="shared" si="51"/>
        <v>0</v>
      </c>
      <c r="AA106" s="50">
        <f t="shared" si="51"/>
        <v>0</v>
      </c>
      <c r="AB106" s="50">
        <f t="shared" si="51"/>
        <v>0</v>
      </c>
      <c r="AC106" s="50">
        <f t="shared" si="51"/>
        <v>0</v>
      </c>
      <c r="AD106" s="50">
        <f t="shared" si="51"/>
        <v>0</v>
      </c>
      <c r="AE106" s="50">
        <f t="shared" si="51"/>
        <v>0</v>
      </c>
      <c r="AF106" s="50">
        <f t="shared" si="51"/>
        <v>0</v>
      </c>
      <c r="AG106" s="50">
        <f t="shared" si="51"/>
        <v>0</v>
      </c>
      <c r="AH106" s="50">
        <f t="shared" si="51"/>
        <v>0</v>
      </c>
      <c r="AI106" s="50">
        <f t="shared" si="49"/>
        <v>0</v>
      </c>
      <c r="AJ106" s="50">
        <f t="shared" si="49"/>
        <v>0</v>
      </c>
      <c r="AK106" s="50">
        <f t="shared" si="49"/>
        <v>0</v>
      </c>
      <c r="AL106" s="50">
        <f t="shared" si="49"/>
        <v>0</v>
      </c>
      <c r="AM106" s="50">
        <f t="shared" si="49"/>
        <v>0</v>
      </c>
      <c r="AN106" s="41"/>
      <c r="AO106" s="61">
        <f t="shared" ref="AO106" si="53">SUBTOTAL(9,AO105)</f>
        <v>0</v>
      </c>
      <c r="AP106" s="41"/>
      <c r="AQ106" s="260">
        <f>AO106-'FY21'!S106</f>
        <v>0</v>
      </c>
    </row>
    <row r="107" spans="3:4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41"/>
      <c r="AO107" s="59"/>
      <c r="AP107" s="41"/>
      <c r="AQ107" s="260">
        <f>AO107-'FY21'!S107</f>
        <v>0</v>
      </c>
    </row>
    <row r="108" spans="3:43" s="37" customFormat="1" ht="12" x14ac:dyDescent="0.2">
      <c r="C108" s="200">
        <v>6810</v>
      </c>
      <c r="D108" s="37" t="s">
        <v>42</v>
      </c>
      <c r="E108" s="39">
        <f>SUMIF('Exp Details'!$D$295:$D$298,'Function-Grant'!E$4,'Exp Details'!$H$295:$H$298)</f>
        <v>0</v>
      </c>
      <c r="F108" s="39">
        <f>SUMIF('Exp Details'!$D$295:$D$298,'Function-Grant'!F$4,'Exp Details'!$H$295:$H$298)</f>
        <v>0</v>
      </c>
      <c r="G108" s="39">
        <f>SUMIF('Exp Details'!$D$295:$D$298,'Function-Grant'!G$4,'Exp Details'!$H$295:$H$298)</f>
        <v>0</v>
      </c>
      <c r="H108" s="39">
        <f>SUMIF('Exp Details'!$D$295:$D$298,'Function-Grant'!H$4,'Exp Details'!$H$295:$H$298)</f>
        <v>0</v>
      </c>
      <c r="I108" s="39">
        <f>SUMIF('Exp Details'!$D$295:$D$298,'Function-Grant'!I$4,'Exp Details'!$H$295:$H$298)</f>
        <v>0</v>
      </c>
      <c r="J108" s="39">
        <f>SUMIF('Exp Details'!$D$295:$D$298,'Function-Grant'!J$4,'Exp Details'!$H$295:$H$298)</f>
        <v>0</v>
      </c>
      <c r="K108" s="39">
        <f>SUMIF('Exp Details'!$D$295:$D$298,'Function-Grant'!K$4,'Exp Details'!$H$295:$H$298)</f>
        <v>0</v>
      </c>
      <c r="L108" s="39">
        <f>SUMIF('Exp Details'!$D$295:$D$298,'Function-Grant'!L$4,'Exp Details'!$H$295:$H$298)</f>
        <v>0</v>
      </c>
      <c r="M108" s="39">
        <f>SUMIF('Exp Details'!$D$295:$D$298,'Function-Grant'!M$4,'Exp Details'!$H$295:$H$298)</f>
        <v>0</v>
      </c>
      <c r="N108" s="39">
        <f>SUMIF('Exp Details'!$D$295:$D$298,'Function-Grant'!N$4,'Exp Details'!$H$295:$H$298)</f>
        <v>0</v>
      </c>
      <c r="O108" s="39">
        <f>SUMIF('Exp Details'!$D$295:$D$298,'Function-Grant'!O$4,'Exp Details'!$H$295:$H$298)</f>
        <v>0</v>
      </c>
      <c r="P108" s="371">
        <f>SUMIF('Exp Details'!$D$293:$D$298,'Function-Grant'!P$4,'Exp Details'!$H$293:$H$298)</f>
        <v>1710</v>
      </c>
      <c r="Q108" s="39">
        <f>SUMIF('Exp Details'!$D$295:$D$298,'Function-Grant'!Q$4,'Exp Details'!$H$295:$H$298)</f>
        <v>0</v>
      </c>
      <c r="R108" s="39">
        <f>SUMIF('Exp Details'!$D$295:$D$298,'Function-Grant'!R$4,'Exp Details'!$H$295:$H$298)</f>
        <v>0</v>
      </c>
      <c r="S108" s="39">
        <f>SUMIF('Exp Details'!$D$295:$D$298,'Function-Grant'!S$4,'Exp Details'!$H$295:$H$298)</f>
        <v>0</v>
      </c>
      <c r="T108" s="39">
        <f>SUMIF('Exp Details'!$D$295:$D$298,'Function-Grant'!T$4,'Exp Details'!$H$295:$H$298)</f>
        <v>0</v>
      </c>
      <c r="U108" s="39">
        <f>SUMIF('Exp Details'!$D$295:$D$298,'Function-Grant'!U$4,'Exp Details'!$H$295:$H$298)</f>
        <v>0</v>
      </c>
      <c r="V108" s="39">
        <f>SUMIF('Exp Details'!$D$295:$D$298,'Function-Grant'!V$4,'Exp Details'!$H$295:$H$298)</f>
        <v>0</v>
      </c>
      <c r="W108" s="39">
        <f>SUMIF('Exp Details'!$D$295:$D$298,'Function-Grant'!W$4,'Exp Details'!$H$295:$H$298)</f>
        <v>0</v>
      </c>
      <c r="X108" s="39">
        <f>SUMIF('Exp Details'!$D$295:$D$298,'Function-Grant'!X$4,'Exp Details'!$H$295:$H$298)</f>
        <v>0</v>
      </c>
      <c r="Y108" s="371">
        <f>SUMIF('Exp Details'!$D$293:$D$298,'Function-Grant'!Y$4,'Exp Details'!$H$293:$H$298)</f>
        <v>427</v>
      </c>
      <c r="Z108" s="39">
        <f>SUMIF('Exp Details'!$D$295:$D$298,'Function-Grant'!Z$4,'Exp Details'!$H$295:$H$298)</f>
        <v>0</v>
      </c>
      <c r="AA108" s="39">
        <f>SUMIF('Exp Details'!$D$295:$D$298,'Function-Grant'!AA$4,'Exp Details'!$H$295:$H$298)</f>
        <v>0</v>
      </c>
      <c r="AB108" s="39">
        <f>SUMIF('Exp Details'!$D$295:$D$298,'Function-Grant'!AB$4,'Exp Details'!$H$295:$H$298)</f>
        <v>0</v>
      </c>
      <c r="AC108" s="39">
        <f>SUMIF('Exp Details'!$D$295:$D$298,'Function-Grant'!AC$4,'Exp Details'!$H$295:$H$298)</f>
        <v>0</v>
      </c>
      <c r="AD108" s="39">
        <f>SUMIF('Exp Details'!$D$295:$D$298,'Function-Grant'!AD$4,'Exp Details'!$H$295:$H$298)</f>
        <v>0</v>
      </c>
      <c r="AE108" s="39">
        <f>SUMIF('Exp Details'!$D$295:$D$298,'Function-Grant'!AE$4,'Exp Details'!$H$295:$H$298)</f>
        <v>0</v>
      </c>
      <c r="AF108" s="39">
        <f>SUMIF('Exp Details'!$D$295:$D$298,'Function-Grant'!AF$4,'Exp Details'!$H$295:$H$298)</f>
        <v>0</v>
      </c>
      <c r="AG108" s="39">
        <f>SUMIF('Exp Details'!$D$295:$D$298,'Function-Grant'!AG$4,'Exp Details'!$H$295:$H$298)</f>
        <v>0</v>
      </c>
      <c r="AH108" s="39">
        <f>SUMIF('Exp Details'!$D$295:$D$298,'Function-Grant'!AH$4,'Exp Details'!$H$295:$H$298)</f>
        <v>0</v>
      </c>
      <c r="AI108" s="39">
        <f>SUMIF('Exp Details'!$D$295:$D$298,'Function-Grant'!AI$4,'Exp Details'!$H$295:$H$298)</f>
        <v>0</v>
      </c>
      <c r="AJ108" s="39">
        <f>SUMIF('Exp Details'!$D$295:$D$298,'Function-Grant'!AJ$4,'Exp Details'!$H$295:$H$298)</f>
        <v>0</v>
      </c>
      <c r="AK108" s="39">
        <f>SUMIF('Exp Details'!$D$295:$D$298,'Function-Grant'!AK$4,'Exp Details'!$H$295:$H$298)</f>
        <v>0</v>
      </c>
      <c r="AL108" s="39">
        <f>SUMIF('Exp Details'!$D$295:$D$298,'Function-Grant'!AL$4,'Exp Details'!$H$295:$H$298)</f>
        <v>0</v>
      </c>
      <c r="AM108" s="39">
        <f>SUMIF('Exp Details'!$D$295:$D$298,'Function-Grant'!AM$4,'Exp Details'!$H$295:$H$298)</f>
        <v>0</v>
      </c>
      <c r="AN108" s="41"/>
      <c r="AO108" s="59">
        <f>SUM(E108:AN108)</f>
        <v>2137</v>
      </c>
      <c r="AP108" s="41"/>
      <c r="AQ108" s="260">
        <f>AO108-'FY21'!S108</f>
        <v>0</v>
      </c>
    </row>
    <row r="109" spans="3:43" s="37" customFormat="1" ht="12" x14ac:dyDescent="0.2">
      <c r="C109" s="38"/>
      <c r="E109" s="50">
        <f t="shared" ref="E109:AM109" si="54">SUBTOTAL(9,E108)</f>
        <v>0</v>
      </c>
      <c r="F109" s="50">
        <f>SUBTOTAL(9,F108)</f>
        <v>0</v>
      </c>
      <c r="G109" s="50">
        <f>SUBTOTAL(9,G108)</f>
        <v>0</v>
      </c>
      <c r="H109" s="50">
        <f t="shared" si="54"/>
        <v>0</v>
      </c>
      <c r="I109" s="50">
        <f t="shared" si="54"/>
        <v>0</v>
      </c>
      <c r="J109" s="50">
        <f t="shared" si="54"/>
        <v>0</v>
      </c>
      <c r="K109" s="50">
        <f t="shared" si="54"/>
        <v>0</v>
      </c>
      <c r="L109" s="50">
        <f t="shared" si="54"/>
        <v>0</v>
      </c>
      <c r="M109" s="50">
        <f t="shared" si="54"/>
        <v>0</v>
      </c>
      <c r="N109" s="50">
        <f t="shared" si="54"/>
        <v>0</v>
      </c>
      <c r="O109" s="50">
        <f t="shared" si="54"/>
        <v>0</v>
      </c>
      <c r="P109" s="50">
        <f t="shared" ref="P109" si="55">SUBTOTAL(9,P108)</f>
        <v>1710</v>
      </c>
      <c r="Q109" s="50">
        <f t="shared" si="54"/>
        <v>0</v>
      </c>
      <c r="R109" s="50">
        <f t="shared" ref="R109:AH109" si="56">SUBTOTAL(9,R108)</f>
        <v>0</v>
      </c>
      <c r="S109" s="50">
        <f t="shared" si="56"/>
        <v>0</v>
      </c>
      <c r="T109" s="50">
        <f t="shared" si="56"/>
        <v>0</v>
      </c>
      <c r="U109" s="50">
        <f t="shared" si="56"/>
        <v>0</v>
      </c>
      <c r="V109" s="50">
        <f t="shared" si="56"/>
        <v>0</v>
      </c>
      <c r="W109" s="50">
        <f t="shared" ref="W109" si="57">SUBTOTAL(9,W108)</f>
        <v>0</v>
      </c>
      <c r="X109" s="50">
        <f t="shared" si="56"/>
        <v>0</v>
      </c>
      <c r="Y109" s="50">
        <f t="shared" si="56"/>
        <v>427</v>
      </c>
      <c r="Z109" s="50">
        <f t="shared" si="56"/>
        <v>0</v>
      </c>
      <c r="AA109" s="50">
        <f t="shared" si="56"/>
        <v>0</v>
      </c>
      <c r="AB109" s="50">
        <f t="shared" si="56"/>
        <v>0</v>
      </c>
      <c r="AC109" s="50">
        <f t="shared" si="56"/>
        <v>0</v>
      </c>
      <c r="AD109" s="50">
        <f t="shared" si="56"/>
        <v>0</v>
      </c>
      <c r="AE109" s="50">
        <f t="shared" si="56"/>
        <v>0</v>
      </c>
      <c r="AF109" s="50">
        <f t="shared" si="56"/>
        <v>0</v>
      </c>
      <c r="AG109" s="50">
        <f t="shared" si="56"/>
        <v>0</v>
      </c>
      <c r="AH109" s="50">
        <f t="shared" si="56"/>
        <v>0</v>
      </c>
      <c r="AI109" s="50">
        <f t="shared" si="54"/>
        <v>0</v>
      </c>
      <c r="AJ109" s="50">
        <f t="shared" si="54"/>
        <v>0</v>
      </c>
      <c r="AK109" s="50">
        <f t="shared" si="54"/>
        <v>0</v>
      </c>
      <c r="AL109" s="50">
        <f t="shared" si="54"/>
        <v>0</v>
      </c>
      <c r="AM109" s="50">
        <f t="shared" si="54"/>
        <v>0</v>
      </c>
      <c r="AN109" s="41"/>
      <c r="AO109" s="61">
        <f t="shared" ref="AO109" si="58">SUBTOTAL(9,AO108)</f>
        <v>2137</v>
      </c>
      <c r="AP109" s="41"/>
      <c r="AQ109" s="260">
        <f>AO109-'FY21'!S109</f>
        <v>0</v>
      </c>
    </row>
    <row r="110" spans="3:4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62"/>
      <c r="AP110" s="48"/>
      <c r="AQ110" s="260">
        <f>AO110-'FY21'!S110</f>
        <v>0</v>
      </c>
    </row>
    <row r="111" spans="3:43" s="37" customFormat="1" ht="12" x14ac:dyDescent="0.2">
      <c r="C111" s="200">
        <v>7306</v>
      </c>
      <c r="D111" s="37" t="s">
        <v>43</v>
      </c>
      <c r="E111" s="39">
        <f>SUMIF('Exp Details'!$D$303:$D$308,'Function-Grant'!E$4,'Exp Details'!$H$303:$H$308)</f>
        <v>0</v>
      </c>
      <c r="F111" s="39">
        <f>SUMIF('Exp Details'!$D$303:$D$308,'Function-Grant'!F$4,'Exp Details'!$H$303:$H$308)</f>
        <v>0</v>
      </c>
      <c r="G111" s="39">
        <f>SUMIF('Exp Details'!$D$303:$D$308,'Function-Grant'!G$4,'Exp Details'!$H$303:$H$308)</f>
        <v>0</v>
      </c>
      <c r="H111" s="39">
        <f>SUMIF('Exp Details'!$D$303:$D$308,'Function-Grant'!H$4,'Exp Details'!$H$303:$H$308)</f>
        <v>0</v>
      </c>
      <c r="I111" s="39">
        <f>SUMIF('Exp Details'!$D$303:$D$308,'Function-Grant'!I$4,'Exp Details'!$H$303:$H$308)</f>
        <v>0</v>
      </c>
      <c r="J111" s="39">
        <f>SUMIF('Exp Details'!$D$303:$D$308,'Function-Grant'!J$4,'Exp Details'!$H$303:$H$308)</f>
        <v>0</v>
      </c>
      <c r="K111" s="39">
        <f>SUMIF('Exp Details'!$D$303:$D$308,'Function-Grant'!K$4,'Exp Details'!$H$303:$H$308)</f>
        <v>0</v>
      </c>
      <c r="L111" s="39">
        <f>SUMIF('Exp Details'!$D$303:$D$308,'Function-Grant'!L$4,'Exp Details'!$H$303:$H$308)</f>
        <v>0</v>
      </c>
      <c r="M111" s="39">
        <f>SUMIF('Exp Details'!$D$303:$D$308,'Function-Grant'!M$4,'Exp Details'!$H$303:$H$308)</f>
        <v>0</v>
      </c>
      <c r="N111" s="39">
        <f>SUMIF('Exp Details'!$D$303:$D$308,'Function-Grant'!N$4,'Exp Details'!$H$303:$H$308)</f>
        <v>0</v>
      </c>
      <c r="O111" s="39">
        <f>SUMIF('Exp Details'!$D$303:$D$308,'Function-Grant'!O$4,'Exp Details'!$H$303:$H$308)</f>
        <v>0</v>
      </c>
      <c r="P111" s="39">
        <f>SUMIF('Exp Details'!$D$303:$D$308,'Function-Grant'!P$4,'Exp Details'!$H$303:$H$308)</f>
        <v>0</v>
      </c>
      <c r="Q111" s="39">
        <f>SUMIF('Exp Details'!$D$303:$D$308,'Function-Grant'!Q$4,'Exp Details'!$H$303:$H$308)</f>
        <v>0</v>
      </c>
      <c r="R111" s="39">
        <f>SUMIF('Exp Details'!$D$303:$D$308,'Function-Grant'!R$4,'Exp Details'!$H$303:$H$308)</f>
        <v>0</v>
      </c>
      <c r="S111" s="39">
        <f>SUMIF('Exp Details'!$D$303:$D$308,'Function-Grant'!S$4,'Exp Details'!$H$303:$H$308)</f>
        <v>0</v>
      </c>
      <c r="T111" s="39">
        <f>SUMIF('Exp Details'!$D$303:$D$308,'Function-Grant'!T$4,'Exp Details'!$H$303:$H$308)</f>
        <v>0</v>
      </c>
      <c r="U111" s="39">
        <f>SUMIF('Exp Details'!$D$303:$D$308,'Function-Grant'!U$4,'Exp Details'!$H$303:$H$308)</f>
        <v>0</v>
      </c>
      <c r="V111" s="39">
        <f>SUMIF('Exp Details'!$D$303:$D$308,'Function-Grant'!V$4,'Exp Details'!$H$303:$H$308)</f>
        <v>0</v>
      </c>
      <c r="W111" s="39">
        <f>SUMIF('Exp Details'!$D$303:$D$308,'Function-Grant'!W$4,'Exp Details'!$H$303:$H$308)</f>
        <v>0</v>
      </c>
      <c r="X111" s="39">
        <f>SUMIF('Exp Details'!$D$303:$D$308,'Function-Grant'!X$4,'Exp Details'!$H$303:$H$308)</f>
        <v>0</v>
      </c>
      <c r="Y111" s="39">
        <f>SUMIF('Exp Details'!$D$303:$D$308,'Function-Grant'!Y$4,'Exp Details'!$H$303:$H$308)</f>
        <v>0</v>
      </c>
      <c r="Z111" s="39">
        <f>SUMIF('Exp Details'!$D$303:$D$308,'Function-Grant'!Z$4,'Exp Details'!$H$303:$H$308)</f>
        <v>0</v>
      </c>
      <c r="AA111" s="39">
        <f>SUMIF('Exp Details'!$D$303:$D$308,'Function-Grant'!AA$4,'Exp Details'!$H$303:$H$308)</f>
        <v>0</v>
      </c>
      <c r="AB111" s="39">
        <f>SUMIF('Exp Details'!$D$303:$D$308,'Function-Grant'!AB$4,'Exp Details'!$H$303:$H$308)</f>
        <v>0</v>
      </c>
      <c r="AC111" s="39">
        <f>SUMIF('Exp Details'!$D$303:$D$308,'Function-Grant'!AC$4,'Exp Details'!$H$303:$H$308)</f>
        <v>0</v>
      </c>
      <c r="AD111" s="39">
        <f>SUMIF('Exp Details'!$D$303:$D$308,'Function-Grant'!AD$4,'Exp Details'!$H$303:$H$308)</f>
        <v>0</v>
      </c>
      <c r="AE111" s="39">
        <f>SUMIF('Exp Details'!$D$303:$D$308,'Function-Grant'!AE$4,'Exp Details'!$H$303:$H$308)</f>
        <v>0</v>
      </c>
      <c r="AF111" s="39">
        <f>SUMIF('Exp Details'!$D$303:$D$308,'Function-Grant'!AF$4,'Exp Details'!$H$303:$H$308)</f>
        <v>0</v>
      </c>
      <c r="AG111" s="39">
        <f>SUMIF('Exp Details'!$D$303:$D$308,'Function-Grant'!AG$4,'Exp Details'!$H$303:$H$308)</f>
        <v>0</v>
      </c>
      <c r="AH111" s="39">
        <f>SUMIF('Exp Details'!$D$303:$D$308,'Function-Grant'!AH$4,'Exp Details'!$H$303:$H$308)</f>
        <v>0</v>
      </c>
      <c r="AI111" s="39">
        <f>SUMIF('Exp Details'!$D$303:$D$308,'Function-Grant'!AI$4,'Exp Details'!$H$303:$H$308)</f>
        <v>0</v>
      </c>
      <c r="AJ111" s="39">
        <f>SUMIF('Exp Details'!$D$303:$D$308,'Function-Grant'!AJ$4,'Exp Details'!$H$303:$H$308)</f>
        <v>0</v>
      </c>
      <c r="AK111" s="39">
        <f>SUMIF('Exp Details'!$D$303:$D$308,'Function-Grant'!AK$4,'Exp Details'!$H$303:$H$308)</f>
        <v>0</v>
      </c>
      <c r="AL111" s="39">
        <f>SUMIF('Exp Details'!$D$303:$D$308,'Function-Grant'!AL$4,'Exp Details'!$H$303:$H$308)</f>
        <v>0</v>
      </c>
      <c r="AM111" s="39">
        <f>SUMIF('Exp Details'!$D$303:$D$308,'Function-Grant'!AM$4,'Exp Details'!$H$303:$H$308)</f>
        <v>0</v>
      </c>
      <c r="AN111" s="41"/>
      <c r="AO111" s="62">
        <f>SUM(E111:AN111)</f>
        <v>0</v>
      </c>
      <c r="AP111" s="41"/>
      <c r="AQ111" s="260">
        <f>AO111-'FY21'!S111</f>
        <v>0</v>
      </c>
    </row>
    <row r="112" spans="3:43" s="37" customFormat="1" ht="12" x14ac:dyDescent="0.2">
      <c r="C112" s="38">
        <v>7901</v>
      </c>
      <c r="D112" s="37" t="s">
        <v>177</v>
      </c>
      <c r="E112" s="39">
        <f>SUMIF('Exp Details'!$D$312:$D$317,'Function-Grant'!E$4,'Exp Details'!$H$312:$H$317)</f>
        <v>0</v>
      </c>
      <c r="F112" s="39">
        <f>SUMIF('Exp Details'!$D$312:$D$317,'Function-Grant'!F$4,'Exp Details'!$H$312:$H$317)</f>
        <v>0</v>
      </c>
      <c r="G112" s="39">
        <f>SUMIF('Exp Details'!$D$312:$D$317,'Function-Grant'!G$4,'Exp Details'!$H$312:$H$317)</f>
        <v>0</v>
      </c>
      <c r="H112" s="39">
        <f>SUMIF('Exp Details'!$D$312:$D$317,'Function-Grant'!H$4,'Exp Details'!$H$312:$H$317)</f>
        <v>0</v>
      </c>
      <c r="I112" s="39">
        <f>SUMIF('Exp Details'!$D$312:$D$317,'Function-Grant'!I$4,'Exp Details'!$H$312:$H$317)</f>
        <v>0</v>
      </c>
      <c r="J112" s="39">
        <f>SUMIF('Exp Details'!$D$312:$D$317,'Function-Grant'!J$4,'Exp Details'!$H$312:$H$317)</f>
        <v>0</v>
      </c>
      <c r="K112" s="39">
        <f>SUMIF('Exp Details'!$D$312:$D$317,'Function-Grant'!K$4,'Exp Details'!$H$312:$H$317)</f>
        <v>0</v>
      </c>
      <c r="L112" s="39">
        <f>SUMIF('Exp Details'!$D$312:$D$317,'Function-Grant'!L$4,'Exp Details'!$H$312:$H$317)</f>
        <v>0</v>
      </c>
      <c r="M112" s="39">
        <f>SUMIF('Exp Details'!$D$312:$D$317,'Function-Grant'!M$4,'Exp Details'!$H$312:$H$317)</f>
        <v>0</v>
      </c>
      <c r="N112" s="39">
        <f>SUMIF('Exp Details'!$D$312:$D$317,'Function-Grant'!N$4,'Exp Details'!$H$312:$H$317)</f>
        <v>0</v>
      </c>
      <c r="O112" s="39">
        <f>SUMIF('Exp Details'!$D$312:$D$317,'Function-Grant'!O$4,'Exp Details'!$H$312:$H$317)</f>
        <v>0</v>
      </c>
      <c r="P112" s="39">
        <f>SUMIF('Exp Details'!$D$312:$D$317,'Function-Grant'!P$4,'Exp Details'!$H$312:$H$317)</f>
        <v>0</v>
      </c>
      <c r="Q112" s="39">
        <f>SUMIF('Exp Details'!$D$312:$D$317,'Function-Grant'!Q$4,'Exp Details'!$H$312:$H$317)</f>
        <v>0</v>
      </c>
      <c r="R112" s="39">
        <f>SUMIF('Exp Details'!$D$312:$D$317,'Function-Grant'!R$4,'Exp Details'!$H$312:$H$317)</f>
        <v>0</v>
      </c>
      <c r="S112" s="39">
        <f>SUMIF('Exp Details'!$D$312:$D$317,'Function-Grant'!S$4,'Exp Details'!$H$312:$H$317)</f>
        <v>0</v>
      </c>
      <c r="T112" s="39">
        <f>SUMIF('Exp Details'!$D$312:$D$317,'Function-Grant'!T$4,'Exp Details'!$H$312:$H$317)</f>
        <v>0</v>
      </c>
      <c r="U112" s="39">
        <f>SUMIF('Exp Details'!$D$312:$D$317,'Function-Grant'!U$4,'Exp Details'!$H$312:$H$317)</f>
        <v>0</v>
      </c>
      <c r="V112" s="39">
        <f>SUMIF('Exp Details'!$D$312:$D$317,'Function-Grant'!V$4,'Exp Details'!$H$312:$H$317)</f>
        <v>0</v>
      </c>
      <c r="W112" s="39">
        <f>SUMIF('Exp Details'!$D$312:$D$317,'Function-Grant'!W$4,'Exp Details'!$H$312:$H$317)</f>
        <v>0</v>
      </c>
      <c r="X112" s="39">
        <f>SUMIF('Exp Details'!$D$312:$D$317,'Function-Grant'!X$4,'Exp Details'!$H$312:$H$317)</f>
        <v>0</v>
      </c>
      <c r="Y112" s="39">
        <f>SUMIF('Exp Details'!$D$312:$D$317,'Function-Grant'!Y$4,'Exp Details'!$H$312:$H$317)</f>
        <v>0</v>
      </c>
      <c r="Z112" s="39">
        <f>SUMIF('Exp Details'!$D$312:$D$317,'Function-Grant'!Z$4,'Exp Details'!$H$312:$H$317)</f>
        <v>0</v>
      </c>
      <c r="AA112" s="39">
        <f>SUMIF('Exp Details'!$D$312:$D$317,'Function-Grant'!AA$4,'Exp Details'!$H$312:$H$317)</f>
        <v>0</v>
      </c>
      <c r="AB112" s="39">
        <f>SUMIF('Exp Details'!$D$312:$D$317,'Function-Grant'!AB$4,'Exp Details'!$H$312:$H$317)</f>
        <v>0</v>
      </c>
      <c r="AC112" s="39">
        <f>SUMIF('Exp Details'!$D$312:$D$317,'Function-Grant'!AC$4,'Exp Details'!$H$312:$H$317)</f>
        <v>0</v>
      </c>
      <c r="AD112" s="39">
        <f>SUMIF('Exp Details'!$D$312:$D$317,'Function-Grant'!AD$4,'Exp Details'!$H$312:$H$317)</f>
        <v>0</v>
      </c>
      <c r="AE112" s="39">
        <f>SUMIF('Exp Details'!$D$312:$D$317,'Function-Grant'!AE$4,'Exp Details'!$H$312:$H$317)</f>
        <v>0</v>
      </c>
      <c r="AF112" s="39">
        <f>SUMIF('Exp Details'!$D$312:$D$317,'Function-Grant'!AF$4,'Exp Details'!$H$312:$H$317)</f>
        <v>0</v>
      </c>
      <c r="AG112" s="39">
        <f>SUMIF('Exp Details'!$D$312:$D$317,'Function-Grant'!AG$4,'Exp Details'!$H$312:$H$317)</f>
        <v>0</v>
      </c>
      <c r="AH112" s="39">
        <f>SUMIF('Exp Details'!$D$312:$D$317,'Function-Grant'!AH$4,'Exp Details'!$H$312:$H$317)</f>
        <v>0</v>
      </c>
      <c r="AI112" s="39">
        <f>SUMIF('Exp Details'!$D$312:$D$317,'Function-Grant'!AI$4,'Exp Details'!$H$312:$H$317)</f>
        <v>0</v>
      </c>
      <c r="AJ112" s="39">
        <f>SUMIF('Exp Details'!$D$312:$D$317,'Function-Grant'!AJ$4,'Exp Details'!$H$312:$H$317)</f>
        <v>0</v>
      </c>
      <c r="AK112" s="39">
        <f>SUMIF('Exp Details'!$D$312:$D$317,'Function-Grant'!AK$4,'Exp Details'!$H$312:$H$317)</f>
        <v>0</v>
      </c>
      <c r="AL112" s="39">
        <f>SUMIF('Exp Details'!$D$312:$D$317,'Function-Grant'!AL$4,'Exp Details'!$H$312:$H$317)</f>
        <v>0</v>
      </c>
      <c r="AM112" s="39">
        <f>SUMIF('Exp Details'!$D$312:$D$317,'Function-Grant'!AM$4,'Exp Details'!$H$312:$H$317)</f>
        <v>0</v>
      </c>
      <c r="AN112" s="41"/>
      <c r="AO112" s="62">
        <f>SUM(E112:AN112)</f>
        <v>0</v>
      </c>
      <c r="AP112" s="41"/>
      <c r="AQ112" s="260">
        <f>AO112-'FY21'!S112</f>
        <v>0</v>
      </c>
    </row>
    <row r="113" spans="1:43" s="37" customFormat="1" ht="12" x14ac:dyDescent="0.2">
      <c r="C113" s="38"/>
      <c r="E113" s="50">
        <f t="shared" ref="E113:AM113" si="59">SUBTOTAL(9,E111:E112)</f>
        <v>0</v>
      </c>
      <c r="F113" s="50">
        <f>SUBTOTAL(9,F111:F112)</f>
        <v>0</v>
      </c>
      <c r="G113" s="50">
        <f>SUBTOTAL(9,G111:G112)</f>
        <v>0</v>
      </c>
      <c r="H113" s="50">
        <f t="shared" si="59"/>
        <v>0</v>
      </c>
      <c r="I113" s="50">
        <f t="shared" si="59"/>
        <v>0</v>
      </c>
      <c r="J113" s="50">
        <f t="shared" si="59"/>
        <v>0</v>
      </c>
      <c r="K113" s="50">
        <f t="shared" si="59"/>
        <v>0</v>
      </c>
      <c r="L113" s="50">
        <f t="shared" si="59"/>
        <v>0</v>
      </c>
      <c r="M113" s="50">
        <f t="shared" si="59"/>
        <v>0</v>
      </c>
      <c r="N113" s="50">
        <f t="shared" si="59"/>
        <v>0</v>
      </c>
      <c r="O113" s="50">
        <f t="shared" si="59"/>
        <v>0</v>
      </c>
      <c r="P113" s="50">
        <f t="shared" ref="P113" si="60">SUBTOTAL(9,P111:P112)</f>
        <v>0</v>
      </c>
      <c r="Q113" s="50">
        <f t="shared" si="59"/>
        <v>0</v>
      </c>
      <c r="R113" s="50">
        <f t="shared" ref="R113:AH113" si="61">SUBTOTAL(9,R111:R112)</f>
        <v>0</v>
      </c>
      <c r="S113" s="50">
        <f t="shared" si="61"/>
        <v>0</v>
      </c>
      <c r="T113" s="50">
        <f t="shared" si="61"/>
        <v>0</v>
      </c>
      <c r="U113" s="50">
        <f t="shared" si="61"/>
        <v>0</v>
      </c>
      <c r="V113" s="50">
        <f t="shared" si="61"/>
        <v>0</v>
      </c>
      <c r="W113" s="50">
        <f t="shared" ref="W113" si="62">SUBTOTAL(9,W111:W112)</f>
        <v>0</v>
      </c>
      <c r="X113" s="50">
        <f t="shared" si="61"/>
        <v>0</v>
      </c>
      <c r="Y113" s="50">
        <f t="shared" si="61"/>
        <v>0</v>
      </c>
      <c r="Z113" s="50">
        <f t="shared" si="61"/>
        <v>0</v>
      </c>
      <c r="AA113" s="50">
        <f t="shared" si="61"/>
        <v>0</v>
      </c>
      <c r="AB113" s="50">
        <f t="shared" si="61"/>
        <v>0</v>
      </c>
      <c r="AC113" s="50">
        <f t="shared" si="61"/>
        <v>0</v>
      </c>
      <c r="AD113" s="50">
        <f t="shared" si="61"/>
        <v>0</v>
      </c>
      <c r="AE113" s="50">
        <f t="shared" si="61"/>
        <v>0</v>
      </c>
      <c r="AF113" s="50">
        <f t="shared" si="61"/>
        <v>0</v>
      </c>
      <c r="AG113" s="50">
        <f t="shared" si="61"/>
        <v>0</v>
      </c>
      <c r="AH113" s="50">
        <f t="shared" si="61"/>
        <v>0</v>
      </c>
      <c r="AI113" s="50">
        <f t="shared" si="59"/>
        <v>0</v>
      </c>
      <c r="AJ113" s="50">
        <f t="shared" si="59"/>
        <v>0</v>
      </c>
      <c r="AK113" s="50">
        <f t="shared" si="59"/>
        <v>0</v>
      </c>
      <c r="AL113" s="50">
        <f t="shared" si="59"/>
        <v>0</v>
      </c>
      <c r="AM113" s="50">
        <f t="shared" si="59"/>
        <v>0</v>
      </c>
      <c r="AN113" s="41"/>
      <c r="AO113" s="61">
        <f>SUBTOTAL(9,AO111:AO112)</f>
        <v>0</v>
      </c>
      <c r="AP113" s="41"/>
      <c r="AQ113" s="260">
        <f>AO113-'FY21'!S113</f>
        <v>0</v>
      </c>
    </row>
    <row r="114" spans="1:4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41"/>
      <c r="AO114" s="59"/>
      <c r="AP114" s="41"/>
      <c r="AQ114" s="260">
        <f>AO114-'FY21'!S114</f>
        <v>0</v>
      </c>
    </row>
    <row r="115" spans="1:43" s="45" customFormat="1" ht="12" x14ac:dyDescent="0.2">
      <c r="A115" s="45" t="s">
        <v>107</v>
      </c>
      <c r="C115" s="46"/>
      <c r="E115" s="43">
        <f t="shared" ref="E115:AM115" si="63">SUBTOTAL(9,E30:E114)</f>
        <v>0</v>
      </c>
      <c r="F115" s="43">
        <f t="shared" si="63"/>
        <v>788876.05002750002</v>
      </c>
      <c r="G115" s="43">
        <f t="shared" si="63"/>
        <v>0</v>
      </c>
      <c r="H115" s="43">
        <f t="shared" si="63"/>
        <v>0</v>
      </c>
      <c r="I115" s="43">
        <f t="shared" si="63"/>
        <v>0</v>
      </c>
      <c r="J115" s="43">
        <f t="shared" si="63"/>
        <v>0</v>
      </c>
      <c r="K115" s="43">
        <f t="shared" si="63"/>
        <v>0</v>
      </c>
      <c r="L115" s="43">
        <f t="shared" si="63"/>
        <v>0</v>
      </c>
      <c r="M115" s="43">
        <f t="shared" si="63"/>
        <v>0</v>
      </c>
      <c r="N115" s="43">
        <f t="shared" si="63"/>
        <v>254923.27425499997</v>
      </c>
      <c r="O115" s="43">
        <f t="shared" si="63"/>
        <v>6900</v>
      </c>
      <c r="P115" s="43">
        <f t="shared" si="63"/>
        <v>30870</v>
      </c>
      <c r="Q115" s="43">
        <f t="shared" si="63"/>
        <v>2000</v>
      </c>
      <c r="R115" s="43">
        <f t="shared" si="63"/>
        <v>0</v>
      </c>
      <c r="S115" s="43">
        <f t="shared" si="63"/>
        <v>2000</v>
      </c>
      <c r="T115" s="43">
        <f t="shared" si="63"/>
        <v>111776.79999999997</v>
      </c>
      <c r="U115" s="43">
        <f t="shared" si="63"/>
        <v>12000</v>
      </c>
      <c r="V115" s="43">
        <f t="shared" si="63"/>
        <v>66405</v>
      </c>
      <c r="W115" s="43">
        <f t="shared" ref="W115" si="64">SUBTOTAL(9,W30:W114)</f>
        <v>2200</v>
      </c>
      <c r="X115" s="43">
        <f t="shared" si="63"/>
        <v>400</v>
      </c>
      <c r="Y115" s="43">
        <f t="shared" si="63"/>
        <v>427</v>
      </c>
      <c r="Z115" s="43">
        <f t="shared" si="63"/>
        <v>0</v>
      </c>
      <c r="AA115" s="43">
        <f t="shared" si="63"/>
        <v>384</v>
      </c>
      <c r="AB115" s="43">
        <f t="shared" si="63"/>
        <v>0</v>
      </c>
      <c r="AC115" s="43">
        <f t="shared" si="63"/>
        <v>0</v>
      </c>
      <c r="AD115" s="43">
        <f t="shared" si="63"/>
        <v>0</v>
      </c>
      <c r="AE115" s="43">
        <f t="shared" si="63"/>
        <v>0</v>
      </c>
      <c r="AF115" s="43">
        <f t="shared" si="63"/>
        <v>0</v>
      </c>
      <c r="AG115" s="43">
        <f t="shared" si="63"/>
        <v>0</v>
      </c>
      <c r="AH115" s="43">
        <f t="shared" si="63"/>
        <v>0</v>
      </c>
      <c r="AI115" s="43">
        <f t="shared" si="63"/>
        <v>0</v>
      </c>
      <c r="AJ115" s="43">
        <f t="shared" si="63"/>
        <v>0</v>
      </c>
      <c r="AK115" s="43">
        <f t="shared" si="63"/>
        <v>0</v>
      </c>
      <c r="AL115" s="43">
        <f t="shared" si="63"/>
        <v>0</v>
      </c>
      <c r="AM115" s="43">
        <f t="shared" si="63"/>
        <v>0</v>
      </c>
      <c r="AN115" s="48"/>
      <c r="AO115" s="60">
        <f>SUBTOTAL(9,AO30:AO114)</f>
        <v>1279162.1242824998</v>
      </c>
      <c r="AP115" s="48"/>
      <c r="AQ115" s="260">
        <f>AO115-'FY21'!S115</f>
        <v>0</v>
      </c>
    </row>
    <row r="116" spans="1:4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41"/>
      <c r="AO116" s="59"/>
      <c r="AP116" s="41"/>
      <c r="AQ116" s="260">
        <f>AO116-'FY21'!S116</f>
        <v>0</v>
      </c>
    </row>
    <row r="117" spans="1:43" s="45" customFormat="1" ht="12.75" thickBot="1" x14ac:dyDescent="0.25">
      <c r="A117" s="45" t="s">
        <v>108</v>
      </c>
      <c r="C117" s="46"/>
      <c r="E117" s="182">
        <f t="shared" ref="E117:AM117" si="65">E27-E115</f>
        <v>1360795.4639999997</v>
      </c>
      <c r="F117" s="182">
        <f t="shared" si="65"/>
        <v>-788876.05002750002</v>
      </c>
      <c r="G117" s="182">
        <f t="shared" si="65"/>
        <v>0</v>
      </c>
      <c r="H117" s="182">
        <f t="shared" si="65"/>
        <v>0</v>
      </c>
      <c r="I117" s="182">
        <f t="shared" si="65"/>
        <v>0</v>
      </c>
      <c r="J117" s="182">
        <f t="shared" si="65"/>
        <v>0</v>
      </c>
      <c r="K117" s="182">
        <f t="shared" si="65"/>
        <v>0</v>
      </c>
      <c r="L117" s="182">
        <f t="shared" si="65"/>
        <v>0</v>
      </c>
      <c r="M117" s="182">
        <f t="shared" si="65"/>
        <v>0</v>
      </c>
      <c r="N117" s="182">
        <f t="shared" si="65"/>
        <v>-254923.27425499997</v>
      </c>
      <c r="O117" s="182">
        <f t="shared" si="65"/>
        <v>-6900</v>
      </c>
      <c r="P117" s="182">
        <f t="shared" si="65"/>
        <v>-30870</v>
      </c>
      <c r="Q117" s="182">
        <f t="shared" si="65"/>
        <v>-2000</v>
      </c>
      <c r="R117" s="182">
        <f t="shared" si="65"/>
        <v>0</v>
      </c>
      <c r="S117" s="182">
        <f t="shared" si="65"/>
        <v>-2000</v>
      </c>
      <c r="T117" s="182">
        <f t="shared" si="65"/>
        <v>-111776.79999999997</v>
      </c>
      <c r="U117" s="182">
        <f t="shared" si="65"/>
        <v>-12000</v>
      </c>
      <c r="V117" s="182">
        <f t="shared" si="65"/>
        <v>-66405</v>
      </c>
      <c r="W117" s="182">
        <f t="shared" ref="W117" si="66">W27-W115</f>
        <v>-2200</v>
      </c>
      <c r="X117" s="182">
        <f t="shared" si="65"/>
        <v>-400</v>
      </c>
      <c r="Y117" s="182">
        <f t="shared" si="65"/>
        <v>-427</v>
      </c>
      <c r="Z117" s="182">
        <f t="shared" si="65"/>
        <v>384</v>
      </c>
      <c r="AA117" s="182">
        <f t="shared" si="65"/>
        <v>-384</v>
      </c>
      <c r="AB117" s="182">
        <f t="shared" si="65"/>
        <v>0</v>
      </c>
      <c r="AC117" s="182">
        <f t="shared" si="65"/>
        <v>0</v>
      </c>
      <c r="AD117" s="182">
        <f t="shared" si="65"/>
        <v>0</v>
      </c>
      <c r="AE117" s="182">
        <f t="shared" si="65"/>
        <v>0</v>
      </c>
      <c r="AF117" s="182">
        <f t="shared" si="65"/>
        <v>0</v>
      </c>
      <c r="AG117" s="182">
        <f t="shared" si="65"/>
        <v>0</v>
      </c>
      <c r="AH117" s="182">
        <f t="shared" si="65"/>
        <v>0</v>
      </c>
      <c r="AI117" s="182">
        <f t="shared" si="65"/>
        <v>0</v>
      </c>
      <c r="AJ117" s="182">
        <f t="shared" si="65"/>
        <v>0</v>
      </c>
      <c r="AK117" s="182">
        <f t="shared" si="65"/>
        <v>0</v>
      </c>
      <c r="AL117" s="182">
        <f t="shared" si="65"/>
        <v>0</v>
      </c>
      <c r="AM117" s="182">
        <f t="shared" si="65"/>
        <v>0</v>
      </c>
      <c r="AN117" s="192"/>
      <c r="AO117" s="193">
        <f>AO27-AO115</f>
        <v>82017.339717499912</v>
      </c>
      <c r="AP117" s="192"/>
      <c r="AQ117" s="260">
        <f>AO117-'FY21'!S117</f>
        <v>0</v>
      </c>
    </row>
    <row r="118" spans="1:4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41"/>
      <c r="AO118" s="59"/>
      <c r="AP118" s="41"/>
      <c r="AQ118" s="260"/>
    </row>
    <row r="119" spans="1:43" s="37" customFormat="1" ht="12" x14ac:dyDescent="0.2">
      <c r="C119" s="3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41"/>
      <c r="AO119" s="40"/>
      <c r="AP119" s="41"/>
      <c r="AQ119" s="260"/>
    </row>
    <row r="120" spans="1:43" s="37" customFormat="1" ht="12" x14ac:dyDescent="0.2">
      <c r="C120" s="3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41"/>
      <c r="AO120" s="40"/>
      <c r="AP120" s="41"/>
      <c r="AQ120" s="260"/>
    </row>
    <row r="121" spans="1:43" s="37" customFormat="1" ht="12" x14ac:dyDescent="0.2">
      <c r="C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41"/>
      <c r="AO121" s="40"/>
      <c r="AP121" s="41"/>
      <c r="AQ121" s="260"/>
    </row>
    <row r="122" spans="1:43" s="37" customFormat="1" ht="12" x14ac:dyDescent="0.2">
      <c r="C122" s="3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41"/>
      <c r="AO122" s="40"/>
      <c r="AP122" s="41"/>
      <c r="AQ122" s="260"/>
    </row>
    <row r="123" spans="1:43" s="37" customFormat="1" ht="12" x14ac:dyDescent="0.2">
      <c r="C123" s="3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41"/>
      <c r="AO123" s="40"/>
      <c r="AP123" s="41"/>
      <c r="AQ123" s="260"/>
    </row>
    <row r="124" spans="1:43" s="37" customFormat="1" ht="12" x14ac:dyDescent="0.2">
      <c r="C124" s="3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41"/>
      <c r="AO124" s="40"/>
      <c r="AP124" s="41"/>
      <c r="AQ124" s="260"/>
    </row>
    <row r="125" spans="1:43" s="37" customFormat="1" ht="12" x14ac:dyDescent="0.2">
      <c r="C125" s="3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41"/>
      <c r="AO125" s="40"/>
      <c r="AP125" s="41"/>
      <c r="AQ125" s="260"/>
    </row>
    <row r="126" spans="1:43" s="37" customFormat="1" ht="12" x14ac:dyDescent="0.2">
      <c r="C126" s="3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41"/>
      <c r="AO126" s="40"/>
      <c r="AP126" s="41"/>
      <c r="AQ126" s="260"/>
    </row>
    <row r="127" spans="1:43" s="37" customFormat="1" ht="12" x14ac:dyDescent="0.2">
      <c r="C127" s="3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41"/>
      <c r="AO127" s="40"/>
      <c r="AP127" s="41"/>
      <c r="AQ127" s="260"/>
    </row>
    <row r="128" spans="1:43" s="37" customFormat="1" ht="12" x14ac:dyDescent="0.2">
      <c r="C128" s="3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41"/>
      <c r="AO128" s="40"/>
      <c r="AP128" s="41"/>
      <c r="AQ128" s="260"/>
    </row>
    <row r="129" spans="3:43" s="37" customFormat="1" ht="12" x14ac:dyDescent="0.2">
      <c r="C129" s="3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41"/>
      <c r="AO129" s="40"/>
      <c r="AP129" s="41"/>
      <c r="AQ129" s="260"/>
    </row>
    <row r="130" spans="3:43" s="37" customFormat="1" ht="12" x14ac:dyDescent="0.2">
      <c r="C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41"/>
      <c r="AO130" s="40"/>
      <c r="AP130" s="41"/>
      <c r="AQ130" s="260"/>
    </row>
    <row r="131" spans="3:43" s="37" customFormat="1" ht="12" x14ac:dyDescent="0.2">
      <c r="C131" s="3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41"/>
      <c r="AO131" s="40"/>
      <c r="AP131" s="41"/>
      <c r="AQ131" s="260"/>
    </row>
    <row r="132" spans="3:43" s="37" customFormat="1" ht="12" x14ac:dyDescent="0.2">
      <c r="C132" s="3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41"/>
      <c r="AO132" s="40"/>
      <c r="AP132" s="41"/>
      <c r="AQ132" s="260"/>
    </row>
    <row r="133" spans="3:43" s="37" customFormat="1" ht="12" x14ac:dyDescent="0.2">
      <c r="C133" s="3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41"/>
      <c r="AO133" s="40"/>
      <c r="AP133" s="41"/>
      <c r="AQ133" s="260"/>
    </row>
    <row r="134" spans="3:43" s="37" customFormat="1" ht="12" x14ac:dyDescent="0.2">
      <c r="C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41"/>
      <c r="AO134" s="40"/>
      <c r="AP134" s="41"/>
      <c r="AQ134" s="260"/>
    </row>
    <row r="135" spans="3:43" s="37" customFormat="1" ht="12" x14ac:dyDescent="0.2">
      <c r="C135" s="3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41"/>
      <c r="AO135" s="40"/>
      <c r="AP135" s="41"/>
      <c r="AQ135" s="260"/>
    </row>
    <row r="136" spans="3:43" s="37" customFormat="1" ht="12" x14ac:dyDescent="0.2">
      <c r="C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41"/>
      <c r="AO136" s="40"/>
      <c r="AP136" s="41"/>
      <c r="AQ136" s="260"/>
    </row>
    <row r="137" spans="3:43" s="37" customFormat="1" ht="12" x14ac:dyDescent="0.2">
      <c r="C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41"/>
      <c r="AO137" s="40"/>
      <c r="AP137" s="41"/>
      <c r="AQ137" s="260"/>
    </row>
    <row r="138" spans="3:43" s="37" customFormat="1" ht="12" x14ac:dyDescent="0.2">
      <c r="C138" s="3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41"/>
      <c r="AO138" s="40"/>
      <c r="AP138" s="41"/>
      <c r="AQ138" s="260"/>
    </row>
    <row r="139" spans="3:43" s="37" customFormat="1" ht="12" x14ac:dyDescent="0.2">
      <c r="C139" s="3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41"/>
      <c r="AO139" s="40"/>
      <c r="AP139" s="41"/>
      <c r="AQ139" s="260"/>
    </row>
    <row r="140" spans="3:43" s="37" customFormat="1" ht="12" x14ac:dyDescent="0.2">
      <c r="C140" s="3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41"/>
      <c r="AO140" s="40"/>
      <c r="AP140" s="41"/>
      <c r="AQ140" s="260"/>
    </row>
    <row r="141" spans="3:43" s="37" customFormat="1" ht="12" x14ac:dyDescent="0.2">
      <c r="C141" s="3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41"/>
      <c r="AO141" s="40"/>
      <c r="AP141" s="41"/>
      <c r="AQ141" s="260"/>
    </row>
    <row r="142" spans="3:43" s="37" customFormat="1" ht="12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41"/>
      <c r="AO142" s="40"/>
      <c r="AP142" s="41"/>
      <c r="AQ142" s="260"/>
    </row>
    <row r="143" spans="3:4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41"/>
      <c r="AO143" s="40"/>
      <c r="AP143" s="41"/>
      <c r="AQ143" s="260"/>
    </row>
    <row r="144" spans="3:4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41"/>
      <c r="AO144" s="40"/>
      <c r="AP144" s="41"/>
      <c r="AQ144" s="260"/>
    </row>
    <row r="145" spans="3:4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41"/>
      <c r="AO145" s="40"/>
      <c r="AP145" s="41"/>
      <c r="AQ145" s="260"/>
    </row>
    <row r="146" spans="3:4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41"/>
      <c r="AO146" s="40"/>
      <c r="AP146" s="41"/>
      <c r="AQ146" s="260"/>
    </row>
    <row r="147" spans="3:4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41"/>
      <c r="AO147" s="40"/>
      <c r="AP147" s="41"/>
      <c r="AQ147" s="260"/>
    </row>
    <row r="148" spans="3:4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41"/>
      <c r="AO148" s="40"/>
      <c r="AP148" s="41"/>
      <c r="AQ148" s="260"/>
    </row>
    <row r="149" spans="3:4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41"/>
      <c r="AO149" s="40"/>
      <c r="AP149" s="41"/>
      <c r="AQ149" s="260"/>
    </row>
    <row r="150" spans="3:4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41"/>
      <c r="AO150" s="40"/>
      <c r="AP150" s="41"/>
      <c r="AQ150" s="260"/>
    </row>
    <row r="151" spans="3:4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41"/>
      <c r="AO151" s="40"/>
      <c r="AP151" s="41"/>
      <c r="AQ151" s="260"/>
    </row>
    <row r="152" spans="3:4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41"/>
      <c r="AO152" s="40"/>
      <c r="AP152" s="41"/>
      <c r="AQ152" s="260"/>
    </row>
    <row r="153" spans="3:4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41"/>
      <c r="AO153" s="40"/>
      <c r="AP153" s="41"/>
      <c r="AQ153" s="260"/>
    </row>
    <row r="154" spans="3:4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41"/>
      <c r="AO154" s="40"/>
      <c r="AP154" s="41"/>
      <c r="AQ154" s="260"/>
    </row>
    <row r="155" spans="3:4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41"/>
      <c r="AO155" s="40"/>
      <c r="AP155" s="41"/>
      <c r="AQ155" s="260"/>
    </row>
    <row r="156" spans="3:4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41"/>
      <c r="AO156" s="40"/>
      <c r="AP156" s="41"/>
      <c r="AQ156" s="260"/>
    </row>
    <row r="157" spans="3:4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41"/>
      <c r="AO157" s="40"/>
      <c r="AP157" s="41"/>
      <c r="AQ157" s="260"/>
    </row>
    <row r="158" spans="3:4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41"/>
      <c r="AO158" s="40"/>
      <c r="AP158" s="41"/>
      <c r="AQ158" s="260"/>
    </row>
    <row r="159" spans="3:4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41"/>
      <c r="AO159" s="40"/>
      <c r="AP159" s="41"/>
      <c r="AQ159" s="260"/>
    </row>
    <row r="160" spans="3:4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41"/>
      <c r="AO160" s="40"/>
      <c r="AP160" s="41"/>
      <c r="AQ160" s="260"/>
    </row>
    <row r="161" spans="3:4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41"/>
      <c r="AO161" s="40"/>
      <c r="AP161" s="41"/>
      <c r="AQ161" s="260"/>
    </row>
    <row r="162" spans="3:4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41"/>
      <c r="AO162" s="40"/>
      <c r="AP162" s="41"/>
      <c r="AQ162" s="260"/>
    </row>
    <row r="163" spans="3:4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41"/>
      <c r="AO163" s="40"/>
      <c r="AP163" s="41"/>
      <c r="AQ163" s="260"/>
    </row>
    <row r="164" spans="3:4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41"/>
      <c r="AO164" s="40"/>
      <c r="AP164" s="41"/>
      <c r="AQ164" s="260"/>
    </row>
    <row r="165" spans="3:4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41"/>
      <c r="AO165" s="40"/>
      <c r="AP165" s="41"/>
      <c r="AQ165" s="260"/>
    </row>
    <row r="166" spans="3:4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41"/>
      <c r="AO166" s="40"/>
      <c r="AP166" s="41"/>
      <c r="AQ166" s="260"/>
    </row>
    <row r="167" spans="3:4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41"/>
      <c r="AO167" s="40"/>
      <c r="AP167" s="41"/>
      <c r="AQ167" s="260"/>
    </row>
    <row r="168" spans="3:4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41"/>
      <c r="AO168" s="40"/>
      <c r="AP168" s="41"/>
      <c r="AQ168" s="260"/>
    </row>
    <row r="169" spans="3:4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41"/>
      <c r="AO169" s="40"/>
      <c r="AP169" s="41"/>
      <c r="AQ169" s="260"/>
    </row>
    <row r="170" spans="3:4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41"/>
      <c r="AO170" s="40"/>
      <c r="AP170" s="41"/>
      <c r="AQ170" s="260"/>
    </row>
    <row r="171" spans="3:4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41"/>
      <c r="AO171" s="40"/>
      <c r="AP171" s="41"/>
      <c r="AQ171" s="260"/>
    </row>
    <row r="172" spans="3:4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41"/>
      <c r="AO172" s="40"/>
      <c r="AP172" s="41"/>
      <c r="AQ172" s="260"/>
    </row>
    <row r="173" spans="3:4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41"/>
      <c r="AO173" s="40"/>
      <c r="AP173" s="41"/>
      <c r="AQ173" s="260"/>
    </row>
    <row r="174" spans="3:4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41"/>
      <c r="AO174" s="40"/>
      <c r="AP174" s="41"/>
      <c r="AQ174" s="260"/>
    </row>
    <row r="175" spans="3:4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41"/>
      <c r="AO175" s="40"/>
      <c r="AP175" s="41"/>
      <c r="AQ175" s="260"/>
    </row>
    <row r="176" spans="3:4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41"/>
      <c r="AO176" s="40"/>
      <c r="AP176" s="41"/>
      <c r="AQ176" s="260"/>
    </row>
    <row r="177" spans="3:4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41"/>
      <c r="AO177" s="40"/>
      <c r="AP177" s="41"/>
      <c r="AQ177" s="260"/>
    </row>
    <row r="178" spans="3:4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41"/>
      <c r="AO178" s="40"/>
      <c r="AP178" s="41"/>
      <c r="AQ178" s="260"/>
    </row>
    <row r="179" spans="3:4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41"/>
      <c r="AO179" s="40"/>
      <c r="AP179" s="41"/>
      <c r="AQ179" s="260"/>
    </row>
    <row r="180" spans="3:4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41"/>
      <c r="AO180" s="40"/>
      <c r="AP180" s="41"/>
      <c r="AQ180" s="260"/>
    </row>
    <row r="181" spans="3:4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41"/>
      <c r="AO181" s="40"/>
      <c r="AP181" s="41"/>
      <c r="AQ181" s="260"/>
    </row>
    <row r="182" spans="3:4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41"/>
      <c r="AO182" s="40"/>
      <c r="AP182" s="41"/>
      <c r="AQ182" s="260"/>
    </row>
    <row r="183" spans="3:4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41"/>
      <c r="AO183" s="40"/>
      <c r="AP183" s="41"/>
      <c r="AQ183" s="260"/>
    </row>
    <row r="184" spans="3:4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41"/>
      <c r="AO184" s="40"/>
      <c r="AP184" s="41"/>
      <c r="AQ184" s="260"/>
    </row>
    <row r="185" spans="3:4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41"/>
      <c r="AO185" s="40"/>
      <c r="AP185" s="41"/>
      <c r="AQ185" s="260"/>
    </row>
    <row r="186" spans="3:4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41"/>
      <c r="AO186" s="40"/>
      <c r="AP186" s="41"/>
      <c r="AQ186" s="260"/>
    </row>
    <row r="187" spans="3:4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41"/>
      <c r="AO187" s="40"/>
      <c r="AP187" s="41"/>
      <c r="AQ187" s="260"/>
    </row>
    <row r="188" spans="3:4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41"/>
      <c r="AO188" s="40"/>
      <c r="AP188" s="41"/>
      <c r="AQ188" s="260"/>
    </row>
    <row r="189" spans="3:4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41"/>
      <c r="AO189" s="40"/>
      <c r="AP189" s="41"/>
      <c r="AQ189" s="260"/>
    </row>
    <row r="190" spans="3:4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41"/>
      <c r="AO190" s="40"/>
      <c r="AP190" s="41"/>
      <c r="AQ190" s="260"/>
    </row>
    <row r="191" spans="3:4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41"/>
      <c r="AO191" s="40"/>
      <c r="AP191" s="41"/>
      <c r="AQ191" s="260"/>
    </row>
    <row r="192" spans="3:4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41"/>
      <c r="AO192" s="40"/>
      <c r="AP192" s="41"/>
      <c r="AQ192" s="260"/>
    </row>
    <row r="193" spans="3:4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41"/>
      <c r="AO193" s="40"/>
      <c r="AP193" s="41"/>
      <c r="AQ193" s="260"/>
    </row>
    <row r="194" spans="3:4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41"/>
      <c r="AO194" s="40"/>
      <c r="AP194" s="41"/>
      <c r="AQ194" s="260"/>
    </row>
    <row r="195" spans="3:4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41"/>
      <c r="AO195" s="40"/>
      <c r="AP195" s="41"/>
      <c r="AQ195" s="260"/>
    </row>
    <row r="196" spans="3:4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41"/>
      <c r="AO196" s="40"/>
      <c r="AP196" s="41"/>
      <c r="AQ196" s="260"/>
    </row>
    <row r="197" spans="3:4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41"/>
      <c r="AO197" s="40"/>
      <c r="AP197" s="41"/>
      <c r="AQ197" s="260"/>
    </row>
    <row r="198" spans="3:4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41"/>
      <c r="AO198" s="40"/>
      <c r="AP198" s="41"/>
      <c r="AQ198" s="260"/>
    </row>
    <row r="199" spans="3:4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41"/>
      <c r="AO199" s="40"/>
      <c r="AP199" s="41"/>
      <c r="AQ199" s="260"/>
    </row>
    <row r="200" spans="3:4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41"/>
      <c r="AO200" s="40"/>
      <c r="AP200" s="41"/>
      <c r="AQ200" s="260"/>
    </row>
    <row r="201" spans="3:4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41"/>
      <c r="AO201" s="40"/>
      <c r="AP201" s="41"/>
      <c r="AQ201" s="260"/>
    </row>
    <row r="202" spans="3:4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41"/>
      <c r="AO202" s="40"/>
      <c r="AP202" s="41"/>
      <c r="AQ202" s="260"/>
    </row>
    <row r="203" spans="3:4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41"/>
      <c r="AO203" s="40"/>
      <c r="AP203" s="41"/>
      <c r="AQ203" s="260"/>
    </row>
    <row r="204" spans="3:4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41"/>
      <c r="AO204" s="40"/>
      <c r="AP204" s="41"/>
      <c r="AQ204" s="260"/>
    </row>
    <row r="205" spans="3:4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41"/>
      <c r="AO205" s="40"/>
      <c r="AP205" s="41"/>
      <c r="AQ205" s="260"/>
    </row>
    <row r="206" spans="3:4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41"/>
      <c r="AO206" s="40"/>
      <c r="AP206" s="41"/>
      <c r="AQ206" s="260"/>
    </row>
    <row r="207" spans="3:4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41"/>
      <c r="AO207" s="40"/>
      <c r="AP207" s="41"/>
      <c r="AQ207" s="260"/>
    </row>
    <row r="208" spans="3:4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41"/>
      <c r="AO208" s="40"/>
      <c r="AP208" s="41"/>
      <c r="AQ208" s="260"/>
    </row>
    <row r="209" spans="3:4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41"/>
      <c r="AO209" s="40"/>
      <c r="AP209" s="41"/>
      <c r="AQ209" s="260"/>
    </row>
    <row r="210" spans="3:4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41"/>
      <c r="AO210" s="40"/>
      <c r="AP210" s="41"/>
      <c r="AQ210" s="260"/>
    </row>
    <row r="211" spans="3:4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41"/>
      <c r="AO211" s="40"/>
      <c r="AP211" s="41"/>
      <c r="AQ211" s="260"/>
    </row>
    <row r="212" spans="3:4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41"/>
      <c r="AO212" s="40"/>
      <c r="AP212" s="41"/>
      <c r="AQ212" s="260"/>
    </row>
    <row r="213" spans="3:4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41"/>
      <c r="AO213" s="40"/>
      <c r="AP213" s="41"/>
      <c r="AQ213" s="260"/>
    </row>
    <row r="214" spans="3:4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41"/>
      <c r="AO214" s="40"/>
      <c r="AP214" s="41"/>
      <c r="AQ214" s="260"/>
    </row>
    <row r="215" spans="3:4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41"/>
      <c r="AO215" s="40"/>
      <c r="AP215" s="41"/>
      <c r="AQ215" s="260"/>
    </row>
    <row r="216" spans="3:4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41"/>
      <c r="AO216" s="40"/>
      <c r="AP216" s="41"/>
      <c r="AQ216" s="260"/>
    </row>
    <row r="217" spans="3:4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41"/>
      <c r="AO217" s="40"/>
      <c r="AP217" s="41"/>
      <c r="AQ217" s="260"/>
    </row>
    <row r="218" spans="3:4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41"/>
      <c r="AO218" s="40"/>
      <c r="AP218" s="41"/>
      <c r="AQ218" s="260"/>
    </row>
    <row r="219" spans="3:4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41"/>
      <c r="AO219" s="40"/>
      <c r="AP219" s="41"/>
      <c r="AQ219" s="260"/>
    </row>
    <row r="220" spans="3:4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41"/>
      <c r="AO220" s="40"/>
      <c r="AP220" s="41"/>
      <c r="AQ220" s="260"/>
    </row>
    <row r="221" spans="3:4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41"/>
      <c r="AO221" s="40"/>
      <c r="AP221" s="41"/>
      <c r="AQ221" s="260"/>
    </row>
    <row r="222" spans="3:4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41"/>
      <c r="AO222" s="40"/>
      <c r="AP222" s="41"/>
      <c r="AQ222" s="260"/>
    </row>
    <row r="223" spans="3:4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41"/>
      <c r="AO223" s="40"/>
      <c r="AP223" s="41"/>
      <c r="AQ223" s="260"/>
    </row>
    <row r="224" spans="3:4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41"/>
      <c r="AO224" s="40"/>
      <c r="AP224" s="41"/>
      <c r="AQ224" s="260"/>
    </row>
    <row r="225" spans="3:4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41"/>
      <c r="AO225" s="40"/>
      <c r="AP225" s="41"/>
      <c r="AQ225" s="260"/>
    </row>
    <row r="226" spans="3:4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41"/>
      <c r="AO226" s="40"/>
      <c r="AP226" s="41"/>
      <c r="AQ226" s="260"/>
    </row>
    <row r="227" spans="3:4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41"/>
      <c r="AO227" s="40"/>
      <c r="AP227" s="41"/>
      <c r="AQ227" s="260"/>
    </row>
    <row r="228" spans="3:4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41"/>
      <c r="AO228" s="40"/>
      <c r="AP228" s="41"/>
      <c r="AQ228" s="260"/>
    </row>
    <row r="229" spans="3:4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41"/>
      <c r="AO229" s="40"/>
      <c r="AP229" s="41"/>
      <c r="AQ229" s="260"/>
    </row>
    <row r="230" spans="3:4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41"/>
      <c r="AO230" s="40"/>
      <c r="AP230" s="41"/>
      <c r="AQ230" s="260"/>
    </row>
    <row r="231" spans="3:4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41"/>
      <c r="AO231" s="40"/>
      <c r="AP231" s="41"/>
      <c r="AQ231" s="260"/>
    </row>
    <row r="232" spans="3:4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41"/>
      <c r="AO232" s="40"/>
      <c r="AP232" s="41"/>
      <c r="AQ232" s="260"/>
    </row>
    <row r="233" spans="3:4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41"/>
      <c r="AO233" s="40"/>
      <c r="AP233" s="41"/>
      <c r="AQ233" s="260"/>
    </row>
    <row r="234" spans="3:4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41"/>
      <c r="AO234" s="40"/>
      <c r="AP234" s="41"/>
      <c r="AQ234" s="260"/>
    </row>
    <row r="235" spans="3:4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41"/>
      <c r="AO235" s="40"/>
      <c r="AP235" s="41"/>
      <c r="AQ235" s="260"/>
    </row>
    <row r="236" spans="3:4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41"/>
      <c r="AO236" s="40"/>
      <c r="AP236" s="41"/>
      <c r="AQ236" s="260"/>
    </row>
    <row r="237" spans="3:4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41"/>
      <c r="AO237" s="40"/>
      <c r="AP237" s="41"/>
      <c r="AQ237" s="260"/>
    </row>
    <row r="238" spans="3:4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41"/>
      <c r="AO238" s="40"/>
      <c r="AP238" s="41"/>
      <c r="AQ238" s="260"/>
    </row>
    <row r="239" spans="3:4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41"/>
      <c r="AO239" s="40"/>
      <c r="AP239" s="41"/>
      <c r="AQ239" s="260"/>
    </row>
    <row r="240" spans="3:4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41"/>
      <c r="AO240" s="40"/>
      <c r="AP240" s="41"/>
      <c r="AQ240" s="260"/>
    </row>
    <row r="241" spans="3:4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41"/>
      <c r="AO241" s="40"/>
      <c r="AP241" s="41"/>
      <c r="AQ241" s="260"/>
    </row>
    <row r="242" spans="3:4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41"/>
      <c r="AO242" s="40"/>
      <c r="AP242" s="41"/>
      <c r="AQ242" s="260"/>
    </row>
    <row r="243" spans="3:4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41"/>
      <c r="AO243" s="40"/>
      <c r="AP243" s="41"/>
      <c r="AQ243" s="260"/>
    </row>
    <row r="244" spans="3:4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41"/>
      <c r="AO244" s="40"/>
      <c r="AP244" s="41"/>
      <c r="AQ244" s="260"/>
    </row>
    <row r="245" spans="3:4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41"/>
      <c r="AO245" s="40"/>
      <c r="AP245" s="41"/>
      <c r="AQ245" s="260"/>
    </row>
    <row r="246" spans="3:4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41"/>
      <c r="AO246" s="40"/>
      <c r="AP246" s="41"/>
      <c r="AQ246" s="260"/>
    </row>
    <row r="247" spans="3:4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41"/>
      <c r="AO247" s="40"/>
      <c r="AP247" s="41"/>
      <c r="AQ247" s="260"/>
    </row>
    <row r="248" spans="3:4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41"/>
      <c r="AO248" s="40"/>
      <c r="AP248" s="41"/>
      <c r="AQ248" s="260"/>
    </row>
    <row r="249" spans="3:4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41"/>
      <c r="AO249" s="40"/>
      <c r="AP249" s="41"/>
      <c r="AQ249" s="260"/>
    </row>
    <row r="250" spans="3:4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41"/>
      <c r="AO250" s="40"/>
      <c r="AP250" s="41"/>
      <c r="AQ250" s="260"/>
    </row>
    <row r="251" spans="3:4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41"/>
      <c r="AO251" s="40"/>
      <c r="AP251" s="41"/>
      <c r="AQ251" s="260"/>
    </row>
    <row r="252" spans="3:4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41"/>
      <c r="AO252" s="40"/>
      <c r="AP252" s="41"/>
      <c r="AQ252" s="260"/>
    </row>
    <row r="253" spans="3:43" x14ac:dyDescent="0.25"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7"/>
      <c r="AO253" s="23"/>
      <c r="AP253" s="27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AF277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14" customWidth="1"/>
    <col min="2" max="2" width="3.140625" style="14" customWidth="1"/>
    <col min="3" max="3" width="7.85546875" style="20" customWidth="1"/>
    <col min="4" max="4" width="31.85546875" style="14" customWidth="1"/>
    <col min="5" max="10" width="8.85546875" style="14" customWidth="1"/>
    <col min="11" max="16" width="8.85546875" style="14"/>
    <col min="17" max="17" width="8.85546875" style="22"/>
    <col min="18" max="18" width="2.140625" style="28" customWidth="1"/>
    <col min="19" max="19" width="11.140625" style="360" bestFit="1" customWidth="1"/>
    <col min="20" max="20" width="2.140625" style="28" customWidth="1"/>
    <col min="21" max="21" width="11.140625" style="369" bestFit="1" customWidth="1"/>
    <col min="22" max="22" width="2.140625" style="28" customWidth="1"/>
    <col min="23" max="23" width="11.140625" style="369" bestFit="1" customWidth="1"/>
    <col min="24" max="24" width="9" style="369" bestFit="1" customWidth="1"/>
    <col min="25" max="25" width="2.140625" style="28" customWidth="1"/>
    <col min="26" max="26" width="11.140625" style="369" bestFit="1" customWidth="1"/>
    <col min="27" max="27" width="9" style="369" bestFit="1" customWidth="1"/>
    <col min="28" max="28" width="2.140625" style="28" customWidth="1"/>
    <col min="29" max="29" width="8.85546875" style="14"/>
    <col min="30" max="30" width="9.5703125" style="14" bestFit="1" customWidth="1"/>
    <col min="31" max="16384" width="8.85546875" style="14"/>
  </cols>
  <sheetData>
    <row r="1" spans="1:30" s="1" customFormat="1" ht="21" x14ac:dyDescent="0.35">
      <c r="A1" s="11" t="str">
        <f>'Rev &amp; Enroll'!$F$5</f>
        <v>Nevada State High School (Henderson)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53"/>
      <c r="T1" s="29"/>
      <c r="U1" s="279"/>
      <c r="V1" s="24"/>
      <c r="W1" s="279"/>
      <c r="X1" s="279"/>
      <c r="Y1" s="29"/>
      <c r="Z1" s="279"/>
      <c r="AA1" s="279"/>
      <c r="AB1" s="29"/>
      <c r="AC1" s="2"/>
      <c r="AD1" s="2"/>
    </row>
    <row r="2" spans="1:30" s="1" customFormat="1" x14ac:dyDescent="0.25">
      <c r="A2" s="12" t="str">
        <f>CONCATENATE("Monthly Cash Flow/Budget"," ",MYP!E4)</f>
        <v>Monthly Cash Flow/Budget FY21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79"/>
      <c r="T2" s="29"/>
      <c r="U2" s="361"/>
      <c r="V2" s="29"/>
      <c r="W2" s="361"/>
      <c r="X2" s="361"/>
      <c r="Y2" s="29"/>
      <c r="Z2" s="361"/>
      <c r="AA2" s="361"/>
      <c r="AB2" s="29"/>
      <c r="AC2" s="4"/>
      <c r="AD2" s="4"/>
    </row>
    <row r="3" spans="1:30" s="6" customFormat="1" ht="13.5" customHeight="1" x14ac:dyDescent="0.2">
      <c r="A3" s="5" t="s">
        <v>575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280"/>
      <c r="T3" s="31"/>
      <c r="U3" s="280"/>
      <c r="V3" s="30"/>
      <c r="W3" s="280"/>
      <c r="X3" s="280"/>
      <c r="Y3" s="31"/>
      <c r="Z3" s="280"/>
      <c r="AA3" s="280"/>
      <c r="AB3" s="31"/>
      <c r="AC3" s="7"/>
      <c r="AD3" s="7"/>
    </row>
    <row r="4" spans="1:30" s="9" customFormat="1" ht="29.45" customHeight="1" x14ac:dyDescent="0.25">
      <c r="C4" s="19"/>
      <c r="D4" s="10"/>
      <c r="E4" s="603">
        <v>44013</v>
      </c>
      <c r="F4" s="33">
        <f t="shared" ref="F4:P4" si="0">E4+31</f>
        <v>44044</v>
      </c>
      <c r="G4" s="33">
        <f t="shared" si="0"/>
        <v>44075</v>
      </c>
      <c r="H4" s="33">
        <f t="shared" si="0"/>
        <v>44106</v>
      </c>
      <c r="I4" s="33">
        <f t="shared" si="0"/>
        <v>44137</v>
      </c>
      <c r="J4" s="33">
        <f t="shared" si="0"/>
        <v>44168</v>
      </c>
      <c r="K4" s="33">
        <f t="shared" si="0"/>
        <v>44199</v>
      </c>
      <c r="L4" s="33">
        <f t="shared" si="0"/>
        <v>44230</v>
      </c>
      <c r="M4" s="33">
        <f t="shared" si="0"/>
        <v>44261</v>
      </c>
      <c r="N4" s="33">
        <f t="shared" si="0"/>
        <v>44292</v>
      </c>
      <c r="O4" s="33">
        <f t="shared" si="0"/>
        <v>44323</v>
      </c>
      <c r="P4" s="56">
        <f t="shared" si="0"/>
        <v>44354</v>
      </c>
      <c r="Q4" s="35" t="s">
        <v>54</v>
      </c>
      <c r="R4" s="26"/>
      <c r="S4" s="354" t="s">
        <v>55</v>
      </c>
      <c r="T4" s="32"/>
      <c r="U4" s="362" t="s">
        <v>528</v>
      </c>
      <c r="V4" s="26"/>
      <c r="W4" s="362" t="s">
        <v>524</v>
      </c>
      <c r="X4" s="362" t="s">
        <v>56</v>
      </c>
      <c r="Y4" s="32"/>
      <c r="Z4" s="362" t="s">
        <v>106</v>
      </c>
      <c r="AA4" s="362" t="s">
        <v>56</v>
      </c>
      <c r="AB4" s="32"/>
      <c r="AC4" s="33" t="s">
        <v>252</v>
      </c>
      <c r="AD4" s="33" t="s">
        <v>253</v>
      </c>
    </row>
    <row r="5" spans="1:30" s="9" customFormat="1" ht="12" x14ac:dyDescent="0.2">
      <c r="C5" s="19"/>
      <c r="D5" s="209" t="s">
        <v>184</v>
      </c>
      <c r="E5" s="328">
        <f>IF(('Rev &amp; Enroll'!$F37*'Rev &amp; Enroll'!$F24)&gt;500000,100%/12,0)</f>
        <v>8.3333333333333329E-2</v>
      </c>
      <c r="F5" s="328">
        <f>IF(('Rev &amp; Enroll'!$F37*'Rev &amp; Enroll'!$F24)&gt;500000,100%/12,0.25)</f>
        <v>8.3333333333333329E-2</v>
      </c>
      <c r="G5" s="328">
        <f>IF(('Rev &amp; Enroll'!$F37*'Rev &amp; Enroll'!$F24)&gt;500000,100%/12,0)</f>
        <v>8.3333333333333329E-2</v>
      </c>
      <c r="H5" s="328">
        <f>IF(('Rev &amp; Enroll'!$F37*'Rev &amp; Enroll'!$F24)&gt;500000,100%/12,0)</f>
        <v>8.3333333333333329E-2</v>
      </c>
      <c r="I5" s="328">
        <f>IF(('Rev &amp; Enroll'!$F37*'Rev &amp; Enroll'!$F24)&gt;500000,100%/12,0.25)</f>
        <v>8.3333333333333329E-2</v>
      </c>
      <c r="J5" s="328">
        <f>IF(('Rev &amp; Enroll'!$F37*'Rev &amp; Enroll'!$F24)&gt;500000,100%/12,0)</f>
        <v>8.3333333333333329E-2</v>
      </c>
      <c r="K5" s="328">
        <f>IF(('Rev &amp; Enroll'!$F37*'Rev &amp; Enroll'!$F24)&gt;500000,100%/12,0)</f>
        <v>8.3333333333333329E-2</v>
      </c>
      <c r="L5" s="328">
        <f>IF(('Rev &amp; Enroll'!$F37*'Rev &amp; Enroll'!$F24)&gt;500000,100%/12,0.25)</f>
        <v>8.3333333333333329E-2</v>
      </c>
      <c r="M5" s="328">
        <f>IF(('Rev &amp; Enroll'!$F37*'Rev &amp; Enroll'!$F24)&gt;500000,100%/12,0)</f>
        <v>8.3333333333333329E-2</v>
      </c>
      <c r="N5" s="328">
        <f>IF(('Rev &amp; Enroll'!$F37*'Rev &amp; Enroll'!$F24)&gt;500000,100%/12,0)</f>
        <v>8.3333333333333329E-2</v>
      </c>
      <c r="O5" s="328">
        <f>IF(('Rev &amp; Enroll'!$F37*'Rev &amp; Enroll'!$F24)&gt;500000,100%/12,0.25)</f>
        <v>8.3333333333333329E-2</v>
      </c>
      <c r="P5" s="328">
        <f>IF(('Rev &amp; Enroll'!$F37*'Rev &amp; Enroll'!$F24)&gt;500000,0.08333,0)</f>
        <v>8.3330000000000001E-2</v>
      </c>
      <c r="Q5" s="223">
        <f>1-SUM(E5:P5)</f>
        <v>3.3333333332441484E-6</v>
      </c>
      <c r="R5" s="41"/>
      <c r="S5" s="355"/>
      <c r="T5" s="32"/>
      <c r="U5" s="363"/>
      <c r="V5" s="41"/>
      <c r="W5" s="363"/>
      <c r="X5" s="363"/>
      <c r="Y5" s="32"/>
      <c r="Z5" s="363"/>
      <c r="AA5" s="363"/>
      <c r="AB5" s="32"/>
      <c r="AC5" s="249"/>
      <c r="AD5" s="249"/>
    </row>
    <row r="6" spans="1:30" s="37" customFormat="1" ht="12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355"/>
      <c r="T6" s="41"/>
      <c r="U6" s="363"/>
      <c r="V6" s="41"/>
      <c r="W6" s="363"/>
      <c r="X6" s="363"/>
      <c r="Y6" s="41"/>
      <c r="Z6" s="363"/>
      <c r="AA6" s="363"/>
      <c r="AB6" s="41"/>
      <c r="AC6" s="249"/>
      <c r="AD6" s="249"/>
    </row>
    <row r="7" spans="1:30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355"/>
      <c r="T7" s="41"/>
      <c r="U7" s="363"/>
      <c r="V7" s="41"/>
      <c r="W7" s="363"/>
      <c r="X7" s="363"/>
      <c r="Y7" s="41"/>
      <c r="Z7" s="363"/>
      <c r="AA7" s="363"/>
      <c r="AB7" s="41"/>
      <c r="AC7" s="249"/>
      <c r="AD7" s="249"/>
    </row>
    <row r="8" spans="1:30" s="37" customFormat="1" ht="12" x14ac:dyDescent="0.2">
      <c r="A8" s="45"/>
      <c r="C8" s="200">
        <v>1110</v>
      </c>
      <c r="D8" s="37" t="s">
        <v>0</v>
      </c>
      <c r="E8" s="181">
        <f>'Rev &amp; Enroll'!$F$37*'Rev &amp; Enroll'!$F$24*'Rev &amp; Enroll'!$F40*'FY21'!E$5</f>
        <v>29937.599999999999</v>
      </c>
      <c r="F8" s="181">
        <f>'Rev &amp; Enroll'!$F$37*'Rev &amp; Enroll'!$F$24*'Rev &amp; Enroll'!$F40*'FY21'!F$5</f>
        <v>29937.599999999999</v>
      </c>
      <c r="G8" s="181">
        <f>'Rev &amp; Enroll'!$F$37*'Rev &amp; Enroll'!$F$24*'Rev &amp; Enroll'!$F40*'FY21'!G$5</f>
        <v>29937.599999999999</v>
      </c>
      <c r="H8" s="181">
        <f>'Rev &amp; Enroll'!$F$37*'Rev &amp; Enroll'!$F$24*'Rev &amp; Enroll'!$F40*'FY21'!H$5</f>
        <v>29937.599999999999</v>
      </c>
      <c r="I8" s="181">
        <f>'Rev &amp; Enroll'!$F$37*'Rev &amp; Enroll'!$F$24*'Rev &amp; Enroll'!$F40*'FY21'!I$5</f>
        <v>29937.599999999999</v>
      </c>
      <c r="J8" s="181">
        <f>'Rev &amp; Enroll'!$F$37*'Rev &amp; Enroll'!$F$24*'Rev &amp; Enroll'!$F40*'FY21'!J$5</f>
        <v>29937.599999999999</v>
      </c>
      <c r="K8" s="181">
        <f>'Rev &amp; Enroll'!$F$37*'Rev &amp; Enroll'!$F$24*'Rev &amp; Enroll'!$F40*'FY21'!K$5</f>
        <v>29937.599999999999</v>
      </c>
      <c r="L8" s="181">
        <f>'Rev &amp; Enroll'!$F$37*'Rev &amp; Enroll'!$F$24*'Rev &amp; Enroll'!$F40*'FY21'!L$5</f>
        <v>29937.599999999999</v>
      </c>
      <c r="M8" s="181">
        <f>'Rev &amp; Enroll'!$F$37*'Rev &amp; Enroll'!$F$24*'Rev &amp; Enroll'!$F40*'FY21'!M$5</f>
        <v>29937.599999999999</v>
      </c>
      <c r="N8" s="181">
        <f>'Rev &amp; Enroll'!$F$37*'Rev &amp; Enroll'!$F$24*'Rev &amp; Enroll'!$F40*'FY21'!N$5</f>
        <v>29937.599999999999</v>
      </c>
      <c r="O8" s="181">
        <f>'Rev &amp; Enroll'!$F$37*'Rev &amp; Enroll'!$F$24*'Rev &amp; Enroll'!$F40*'FY21'!O$5</f>
        <v>29937.599999999999</v>
      </c>
      <c r="P8" s="181">
        <f>'Rev &amp; Enroll'!$F$37*'Rev &amp; Enroll'!$F$24*'Rev &amp; Enroll'!$F40*'FY21'!P$5</f>
        <v>29936.402496000002</v>
      </c>
      <c r="Q8" s="98"/>
      <c r="R8" s="187"/>
      <c r="S8" s="355">
        <f>SUM(E8:Q8)</f>
        <v>359250.00249599997</v>
      </c>
      <c r="T8" s="41"/>
      <c r="U8" s="363">
        <f>SUM(E8:L8)</f>
        <v>239500.80000000002</v>
      </c>
      <c r="V8" s="187"/>
      <c r="W8" s="363">
        <v>153964.80000000002</v>
      </c>
      <c r="X8" s="363">
        <f>S8-W8</f>
        <v>205285.20249599995</v>
      </c>
      <c r="Y8" s="41"/>
      <c r="Z8" s="363">
        <v>212256</v>
      </c>
      <c r="AA8" s="363">
        <f>S8-Z8</f>
        <v>146994.00249599997</v>
      </c>
      <c r="AB8" s="41"/>
      <c r="AC8" s="250">
        <v>0</v>
      </c>
      <c r="AD8" s="250">
        <f>S8-AC8</f>
        <v>359250.00249599997</v>
      </c>
    </row>
    <row r="9" spans="1:30" s="37" customFormat="1" ht="12" x14ac:dyDescent="0.2">
      <c r="A9" s="45"/>
      <c r="C9" s="200">
        <v>1120</v>
      </c>
      <c r="D9" s="37" t="s">
        <v>1</v>
      </c>
      <c r="E9" s="39">
        <f>'Rev &amp; Enroll'!$F$37*'Rev &amp; Enroll'!$F$24*'Rev &amp; Enroll'!$F41*'FY21'!E$5</f>
        <v>32886</v>
      </c>
      <c r="F9" s="39">
        <f>'Rev &amp; Enroll'!$F$37*'Rev &amp; Enroll'!$F$24*'Rev &amp; Enroll'!$F41*'FY21'!F$5</f>
        <v>32886</v>
      </c>
      <c r="G9" s="39">
        <f>'Rev &amp; Enroll'!$F$37*'Rev &amp; Enroll'!$F$24*'Rev &amp; Enroll'!$F41*'FY21'!G$5</f>
        <v>32886</v>
      </c>
      <c r="H9" s="39">
        <f>'Rev &amp; Enroll'!$F$37*'Rev &amp; Enroll'!$F$24*'Rev &amp; Enroll'!$F41*'FY21'!H$5</f>
        <v>32886</v>
      </c>
      <c r="I9" s="39">
        <f>'Rev &amp; Enroll'!$F$37*'Rev &amp; Enroll'!$F$24*'Rev &amp; Enroll'!$F41*'FY21'!I$5</f>
        <v>32886</v>
      </c>
      <c r="J9" s="39">
        <f>'Rev &amp; Enroll'!$F$37*'Rev &amp; Enroll'!$F$24*'Rev &amp; Enroll'!$F41*'FY21'!J$5</f>
        <v>32886</v>
      </c>
      <c r="K9" s="39">
        <f>'Rev &amp; Enroll'!$F$37*'Rev &amp; Enroll'!$F$24*'Rev &amp; Enroll'!$F41*'FY21'!K$5</f>
        <v>32886</v>
      </c>
      <c r="L9" s="39">
        <f>'Rev &amp; Enroll'!$F$37*'Rev &amp; Enroll'!$F$24*'Rev &amp; Enroll'!$F41*'FY21'!L$5</f>
        <v>32886</v>
      </c>
      <c r="M9" s="39">
        <f>'Rev &amp; Enroll'!$F$37*'Rev &amp; Enroll'!$F$24*'Rev &amp; Enroll'!$F41*'FY21'!M$5</f>
        <v>32886</v>
      </c>
      <c r="N9" s="39">
        <f>'Rev &amp; Enroll'!$F$37*'Rev &amp; Enroll'!$F$24*'Rev &amp; Enroll'!$F41*'FY21'!N$5</f>
        <v>32886</v>
      </c>
      <c r="O9" s="39">
        <f>'Rev &amp; Enroll'!$F$37*'Rev &amp; Enroll'!$F$24*'Rev &amp; Enroll'!$F41*'FY21'!O$5</f>
        <v>32886</v>
      </c>
      <c r="P9" s="39">
        <f>'Rev &amp; Enroll'!$F$37*'Rev &amp; Enroll'!$F$24*'Rev &amp; Enroll'!$F41*'FY21'!P$5</f>
        <v>32884.684560000002</v>
      </c>
      <c r="Q9" s="98"/>
      <c r="R9" s="41"/>
      <c r="S9" s="355">
        <f t="shared" ref="S9:S12" si="1">SUM(E9:Q9)</f>
        <v>394630.68456000002</v>
      </c>
      <c r="T9" s="41"/>
      <c r="U9" s="363">
        <f t="shared" ref="U9:U72" si="2">SUM(E9:L9)</f>
        <v>263088</v>
      </c>
      <c r="V9" s="41"/>
      <c r="W9" s="363">
        <v>169128</v>
      </c>
      <c r="X9" s="363">
        <f t="shared" ref="X9:X12" si="3">S9-W9</f>
        <v>225502.68456000002</v>
      </c>
      <c r="Y9" s="41"/>
      <c r="Z9" s="363">
        <v>233159.99999999997</v>
      </c>
      <c r="AA9" s="363">
        <f>S9-Z9</f>
        <v>161470.68456000005</v>
      </c>
      <c r="AB9" s="41"/>
      <c r="AC9" s="249">
        <v>0</v>
      </c>
      <c r="AD9" s="249">
        <f>S9-AC9</f>
        <v>394630.68456000002</v>
      </c>
    </row>
    <row r="10" spans="1:30" s="37" customFormat="1" ht="12" x14ac:dyDescent="0.2">
      <c r="A10" s="45"/>
      <c r="C10" s="200">
        <v>1191</v>
      </c>
      <c r="D10" s="37" t="s">
        <v>2</v>
      </c>
      <c r="E10" s="39">
        <f>'Rev &amp; Enroll'!$F$37*'Rev &amp; Enroll'!$F$24*'Rev &amp; Enroll'!$F42*'FY21'!E$5</f>
        <v>113.39999999999999</v>
      </c>
      <c r="F10" s="39">
        <f>'Rev &amp; Enroll'!$F$37*'Rev &amp; Enroll'!$F$24*'Rev &amp; Enroll'!$F42*'FY21'!F$5</f>
        <v>113.39999999999999</v>
      </c>
      <c r="G10" s="39">
        <f>'Rev &amp; Enroll'!$F$37*'Rev &amp; Enroll'!$F$24*'Rev &amp; Enroll'!$F42*'FY21'!G$5</f>
        <v>113.39999999999999</v>
      </c>
      <c r="H10" s="39">
        <f>'Rev &amp; Enroll'!$F$37*'Rev &amp; Enroll'!$F$24*'Rev &amp; Enroll'!$F42*'FY21'!H$5</f>
        <v>113.39999999999999</v>
      </c>
      <c r="I10" s="39">
        <f>'Rev &amp; Enroll'!$F$37*'Rev &amp; Enroll'!$F$24*'Rev &amp; Enroll'!$F42*'FY21'!I$5</f>
        <v>113.39999999999999</v>
      </c>
      <c r="J10" s="39">
        <f>'Rev &amp; Enroll'!$F$37*'Rev &amp; Enroll'!$F$24*'Rev &amp; Enroll'!$F42*'FY21'!J$5</f>
        <v>113.39999999999999</v>
      </c>
      <c r="K10" s="39">
        <f>'Rev &amp; Enroll'!$F$37*'Rev &amp; Enroll'!$F$24*'Rev &amp; Enroll'!$F42*'FY21'!K$5</f>
        <v>113.39999999999999</v>
      </c>
      <c r="L10" s="39">
        <f>'Rev &amp; Enroll'!$F$37*'Rev &amp; Enroll'!$F$24*'Rev &amp; Enroll'!$F42*'FY21'!L$5</f>
        <v>113.39999999999999</v>
      </c>
      <c r="M10" s="39">
        <f>'Rev &amp; Enroll'!$F$37*'Rev &amp; Enroll'!$F$24*'Rev &amp; Enroll'!$F42*'FY21'!M$5</f>
        <v>113.39999999999999</v>
      </c>
      <c r="N10" s="39">
        <f>'Rev &amp; Enroll'!$F$37*'Rev &amp; Enroll'!$F$24*'Rev &amp; Enroll'!$F42*'FY21'!N$5</f>
        <v>113.39999999999999</v>
      </c>
      <c r="O10" s="39">
        <f>'Rev &amp; Enroll'!$F$37*'Rev &amp; Enroll'!$F$24*'Rev &amp; Enroll'!$F42*'FY21'!O$5</f>
        <v>113.39999999999999</v>
      </c>
      <c r="P10" s="39">
        <f>'Rev &amp; Enroll'!$F$37*'Rev &amp; Enroll'!$F$24*'Rev &amp; Enroll'!$F42*'FY21'!P$5</f>
        <v>113.395464</v>
      </c>
      <c r="Q10" s="98"/>
      <c r="R10" s="41"/>
      <c r="S10" s="355">
        <f t="shared" si="1"/>
        <v>1360.795464</v>
      </c>
      <c r="T10" s="41"/>
      <c r="U10" s="363">
        <f t="shared" si="2"/>
        <v>907.19999999999993</v>
      </c>
      <c r="V10" s="41"/>
      <c r="W10" s="363">
        <v>583.20000000000005</v>
      </c>
      <c r="X10" s="363">
        <f t="shared" si="3"/>
        <v>777.59546399999999</v>
      </c>
      <c r="Y10" s="41"/>
      <c r="Z10" s="363">
        <v>804</v>
      </c>
      <c r="AA10" s="363">
        <f>S10-Z10</f>
        <v>556.79546400000004</v>
      </c>
      <c r="AB10" s="41"/>
      <c r="AC10" s="249">
        <v>0</v>
      </c>
      <c r="AD10" s="249">
        <f>S10-AC10</f>
        <v>1360.795464</v>
      </c>
    </row>
    <row r="11" spans="1:30" s="37" customFormat="1" ht="12" x14ac:dyDescent="0.2">
      <c r="A11" s="45"/>
      <c r="C11" s="200">
        <v>1192</v>
      </c>
      <c r="D11" s="37" t="s">
        <v>3</v>
      </c>
      <c r="E11" s="39">
        <f>'Rev &amp; Enroll'!$F$37*'Rev &amp; Enroll'!$F$24*'Rev &amp; Enroll'!$F43*'FY21'!E$5</f>
        <v>3515.4</v>
      </c>
      <c r="F11" s="39">
        <f>'Rev &amp; Enroll'!$F$37*'Rev &amp; Enroll'!$F$24*'Rev &amp; Enroll'!$F43*'FY21'!F$5</f>
        <v>3515.4</v>
      </c>
      <c r="G11" s="39">
        <f>'Rev &amp; Enroll'!$F$37*'Rev &amp; Enroll'!$F$24*'Rev &amp; Enroll'!$F43*'FY21'!G$5</f>
        <v>3515.4</v>
      </c>
      <c r="H11" s="39">
        <f>'Rev &amp; Enroll'!$F$37*'Rev &amp; Enroll'!$F$24*'Rev &amp; Enroll'!$F43*'FY21'!H$5</f>
        <v>3515.4</v>
      </c>
      <c r="I11" s="39">
        <f>'Rev &amp; Enroll'!$F$37*'Rev &amp; Enroll'!$F$24*'Rev &amp; Enroll'!$F43*'FY21'!I$5</f>
        <v>3515.4</v>
      </c>
      <c r="J11" s="39">
        <f>'Rev &amp; Enroll'!$F$37*'Rev &amp; Enroll'!$F$24*'Rev &amp; Enroll'!$F43*'FY21'!J$5</f>
        <v>3515.4</v>
      </c>
      <c r="K11" s="39">
        <f>'Rev &amp; Enroll'!$F$37*'Rev &amp; Enroll'!$F$24*'Rev &amp; Enroll'!$F43*'FY21'!K$5</f>
        <v>3515.4</v>
      </c>
      <c r="L11" s="39">
        <f>'Rev &amp; Enroll'!$F$37*'Rev &amp; Enroll'!$F$24*'Rev &amp; Enroll'!$F43*'FY21'!L$5</f>
        <v>3515.4</v>
      </c>
      <c r="M11" s="39">
        <f>'Rev &amp; Enroll'!$F$37*'Rev &amp; Enroll'!$F$24*'Rev &amp; Enroll'!$F43*'FY21'!M$5</f>
        <v>3515.4</v>
      </c>
      <c r="N11" s="39">
        <f>'Rev &amp; Enroll'!$F$37*'Rev &amp; Enroll'!$F$24*'Rev &amp; Enroll'!$F43*'FY21'!N$5</f>
        <v>3515.4</v>
      </c>
      <c r="O11" s="39">
        <f>'Rev &amp; Enroll'!$F$37*'Rev &amp; Enroll'!$F$24*'Rev &amp; Enroll'!$F43*'FY21'!O$5</f>
        <v>3515.4</v>
      </c>
      <c r="P11" s="39">
        <f>'Rev &amp; Enroll'!$F$37*'Rev &amp; Enroll'!$F$24*'Rev &amp; Enroll'!$F43*'FY21'!P$5</f>
        <v>3515.2593840000004</v>
      </c>
      <c r="Q11" s="98"/>
      <c r="R11" s="41"/>
      <c r="S11" s="355">
        <f t="shared" si="1"/>
        <v>42184.659384000006</v>
      </c>
      <c r="T11" s="41"/>
      <c r="U11" s="363">
        <f t="shared" si="2"/>
        <v>28123.200000000004</v>
      </c>
      <c r="V11" s="41"/>
      <c r="W11" s="363">
        <v>18079.2</v>
      </c>
      <c r="X11" s="363">
        <f t="shared" si="3"/>
        <v>24105.459384000005</v>
      </c>
      <c r="Y11" s="41"/>
      <c r="Z11" s="363">
        <v>24924</v>
      </c>
      <c r="AA11" s="363">
        <f>S11-Z11</f>
        <v>17260.659384000006</v>
      </c>
      <c r="AB11" s="41"/>
      <c r="AC11" s="249">
        <v>0</v>
      </c>
      <c r="AD11" s="249">
        <f>S11-AC11</f>
        <v>42184.659384000006</v>
      </c>
    </row>
    <row r="12" spans="1:30" s="37" customFormat="1" ht="12" x14ac:dyDescent="0.2">
      <c r="A12" s="45"/>
      <c r="C12" s="200">
        <v>3110</v>
      </c>
      <c r="D12" s="37" t="s">
        <v>73</v>
      </c>
      <c r="E12" s="39">
        <f>'Rev &amp; Enroll'!$F$37*'Rev &amp; Enroll'!$F$24*'Rev &amp; Enroll'!$F44*'FY21'!E$5</f>
        <v>46947.599999999991</v>
      </c>
      <c r="F12" s="39">
        <f>'Rev &amp; Enroll'!$F$37*'Rev &amp; Enroll'!$F$24*'Rev &amp; Enroll'!$F44*'FY21'!F$5</f>
        <v>46947.599999999991</v>
      </c>
      <c r="G12" s="39">
        <f>'Rev &amp; Enroll'!$F$37*'Rev &amp; Enroll'!$F$24*'Rev &amp; Enroll'!$F44*'FY21'!G$5</f>
        <v>46947.599999999991</v>
      </c>
      <c r="H12" s="39">
        <f>'Rev &amp; Enroll'!$F$37*'Rev &amp; Enroll'!$F$24*'Rev &amp; Enroll'!$F44*'FY21'!H$5</f>
        <v>46947.599999999991</v>
      </c>
      <c r="I12" s="39">
        <f>'Rev &amp; Enroll'!$F$37*'Rev &amp; Enroll'!$F$24*'Rev &amp; Enroll'!$F44*'FY21'!I$5</f>
        <v>46947.599999999991</v>
      </c>
      <c r="J12" s="39">
        <f>'Rev &amp; Enroll'!$F$37*'Rev &amp; Enroll'!$F$24*'Rev &amp; Enroll'!$F44*'FY21'!J$5</f>
        <v>46947.599999999991</v>
      </c>
      <c r="K12" s="39">
        <f>'Rev &amp; Enroll'!$F$37*'Rev &amp; Enroll'!$F$24*'Rev &amp; Enroll'!$F44*'FY21'!K$5</f>
        <v>46947.599999999991</v>
      </c>
      <c r="L12" s="39">
        <f>'Rev &amp; Enroll'!$F$37*'Rev &amp; Enroll'!$F$24*'Rev &amp; Enroll'!$F44*'FY21'!L$5</f>
        <v>46947.599999999991</v>
      </c>
      <c r="M12" s="39">
        <f>'Rev &amp; Enroll'!$F$37*'Rev &amp; Enroll'!$F$24*'Rev &amp; Enroll'!$F44*'FY21'!M$5</f>
        <v>46947.599999999991</v>
      </c>
      <c r="N12" s="39">
        <f>'Rev &amp; Enroll'!$F$37*'Rev &amp; Enroll'!$F$24*'Rev &amp; Enroll'!$F44*'FY21'!N$5</f>
        <v>46947.599999999991</v>
      </c>
      <c r="O12" s="39">
        <f>'Rev &amp; Enroll'!$F$37*'Rev &amp; Enroll'!$F$24*'Rev &amp; Enroll'!$F44*'FY21'!O$5</f>
        <v>46947.599999999991</v>
      </c>
      <c r="P12" s="39">
        <f>'Rev &amp; Enroll'!$F$37*'Rev &amp; Enroll'!$F$24*'Rev &amp; Enroll'!$F44*'FY21'!P$5</f>
        <v>46945.722095999998</v>
      </c>
      <c r="Q12" s="98"/>
      <c r="R12" s="41"/>
      <c r="S12" s="355">
        <f t="shared" si="1"/>
        <v>563369.32209599984</v>
      </c>
      <c r="T12" s="41"/>
      <c r="U12" s="363">
        <f>SUM(E12:L12)</f>
        <v>375580.79999999987</v>
      </c>
      <c r="V12" s="41"/>
      <c r="W12" s="363">
        <v>241444.8</v>
      </c>
      <c r="X12" s="363">
        <f t="shared" si="3"/>
        <v>321924.52209599986</v>
      </c>
      <c r="Y12" s="41"/>
      <c r="Z12" s="363">
        <v>332856</v>
      </c>
      <c r="AA12" s="363">
        <f>S12-Z12</f>
        <v>230513.32209599984</v>
      </c>
      <c r="AB12" s="41"/>
      <c r="AC12" s="249">
        <v>0</v>
      </c>
      <c r="AD12" s="249">
        <f>S12-AC12</f>
        <v>563369.32209599984</v>
      </c>
    </row>
    <row r="13" spans="1:30" s="37" customFormat="1" ht="12" x14ac:dyDescent="0.2">
      <c r="A13" s="45"/>
      <c r="C13" s="38"/>
      <c r="E13" s="50">
        <f t="shared" ref="E13:O13" si="4">SUBTOTAL(9,E8:E12)</f>
        <v>113399.99999999999</v>
      </c>
      <c r="F13" s="50">
        <f t="shared" si="4"/>
        <v>113399.99999999999</v>
      </c>
      <c r="G13" s="50">
        <f t="shared" si="4"/>
        <v>113399.99999999999</v>
      </c>
      <c r="H13" s="50">
        <f t="shared" si="4"/>
        <v>113399.99999999999</v>
      </c>
      <c r="I13" s="50">
        <f t="shared" si="4"/>
        <v>113399.99999999999</v>
      </c>
      <c r="J13" s="50">
        <f t="shared" si="4"/>
        <v>113399.99999999999</v>
      </c>
      <c r="K13" s="50">
        <f t="shared" si="4"/>
        <v>113399.99999999999</v>
      </c>
      <c r="L13" s="50">
        <f t="shared" si="4"/>
        <v>113399.99999999999</v>
      </c>
      <c r="M13" s="50">
        <f t="shared" si="4"/>
        <v>113399.99999999999</v>
      </c>
      <c r="N13" s="50">
        <f t="shared" si="4"/>
        <v>113399.99999999999</v>
      </c>
      <c r="O13" s="50">
        <f t="shared" si="4"/>
        <v>113399.99999999999</v>
      </c>
      <c r="P13" s="50">
        <f t="shared" ref="P13" si="5">SUBTOTAL(9,P8:P12)</f>
        <v>113395.46400000001</v>
      </c>
      <c r="Q13" s="99"/>
      <c r="R13" s="41"/>
      <c r="S13" s="356">
        <f>SUBTOTAL(9,S8:S12)</f>
        <v>1360795.4639999997</v>
      </c>
      <c r="T13" s="41"/>
      <c r="U13" s="364">
        <f t="shared" si="2"/>
        <v>907199.99999999988</v>
      </c>
      <c r="V13" s="41"/>
      <c r="W13" s="364">
        <v>583200</v>
      </c>
      <c r="X13" s="364">
        <f>SUBTOTAL(9,X8:X12)</f>
        <v>777595.4639999998</v>
      </c>
      <c r="Y13" s="41"/>
      <c r="Z13" s="364">
        <v>804000</v>
      </c>
      <c r="AA13" s="364">
        <f t="shared" ref="AA13" si="6">SUBTOTAL(9,AA8:AA12)</f>
        <v>556795.46399999992</v>
      </c>
      <c r="AB13" s="41"/>
      <c r="AC13" s="251">
        <f t="shared" ref="AC13:AD13" si="7">SUBTOTAL(9,AC8:AC12)</f>
        <v>0</v>
      </c>
      <c r="AD13" s="251">
        <f t="shared" si="7"/>
        <v>1360795.4639999997</v>
      </c>
    </row>
    <row r="14" spans="1:30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355"/>
      <c r="T14" s="41"/>
      <c r="U14" s="363">
        <f t="shared" si="2"/>
        <v>0</v>
      </c>
      <c r="V14" s="41"/>
      <c r="W14" s="363"/>
      <c r="X14" s="363"/>
      <c r="Y14" s="41"/>
      <c r="Z14" s="363"/>
      <c r="AA14" s="363"/>
      <c r="AB14" s="41"/>
      <c r="AC14" s="249"/>
      <c r="AD14" s="249"/>
    </row>
    <row r="15" spans="1:30" s="37" customFormat="1" ht="12" x14ac:dyDescent="0.2">
      <c r="A15" s="45"/>
      <c r="C15" s="200">
        <v>3115</v>
      </c>
      <c r="D15" s="37" t="s">
        <v>5</v>
      </c>
      <c r="E15" s="39">
        <v>0</v>
      </c>
      <c r="F15" s="39">
        <v>0</v>
      </c>
      <c r="G15" s="39">
        <v>0</v>
      </c>
      <c r="H15" s="667">
        <f>'Rev &amp; Enroll'!$F$48/4</f>
        <v>0</v>
      </c>
      <c r="I15" s="39">
        <v>0</v>
      </c>
      <c r="J15" s="39">
        <v>0</v>
      </c>
      <c r="K15" s="39">
        <v>0</v>
      </c>
      <c r="L15" s="667">
        <f>'Rev &amp; Enroll'!F48/4</f>
        <v>0</v>
      </c>
      <c r="M15" s="39">
        <v>0</v>
      </c>
      <c r="N15" s="667">
        <f>'Rev &amp; Enroll'!F48/4</f>
        <v>0</v>
      </c>
      <c r="O15" s="39">
        <v>0</v>
      </c>
      <c r="P15" s="667">
        <f>'Rev &amp; Enroll'!F48/4</f>
        <v>0</v>
      </c>
      <c r="Q15" s="98"/>
      <c r="R15" s="41"/>
      <c r="S15" s="355">
        <f>SUM(E15:Q15)</f>
        <v>0</v>
      </c>
      <c r="T15" s="41"/>
      <c r="U15" s="363">
        <f t="shared" si="2"/>
        <v>0</v>
      </c>
      <c r="V15" s="41"/>
      <c r="W15" s="363">
        <v>3458</v>
      </c>
      <c r="X15" s="363">
        <f t="shared" ref="X15:X16" si="8">S15-W15</f>
        <v>-3458</v>
      </c>
      <c r="Y15" s="41"/>
      <c r="Z15" s="363">
        <v>1250</v>
      </c>
      <c r="AA15" s="363">
        <f>S15-Z15</f>
        <v>-1250</v>
      </c>
      <c r="AB15" s="41"/>
      <c r="AC15" s="249">
        <v>0</v>
      </c>
      <c r="AD15" s="249">
        <f>S15-AC15</f>
        <v>0</v>
      </c>
    </row>
    <row r="16" spans="1:30" s="37" customFormat="1" ht="12" x14ac:dyDescent="0.2">
      <c r="A16" s="45"/>
      <c r="C16" s="200">
        <v>3200</v>
      </c>
      <c r="D16" s="37" t="s">
        <v>6</v>
      </c>
      <c r="E16" s="39">
        <v>0</v>
      </c>
      <c r="F16" s="667">
        <f>'Rev &amp; Enroll'!F51</f>
        <v>0</v>
      </c>
      <c r="G16" s="39">
        <v>0</v>
      </c>
      <c r="H16" s="39">
        <v>0</v>
      </c>
      <c r="I16" s="667">
        <f>'Rev &amp; Enroll'!F50</f>
        <v>0</v>
      </c>
      <c r="J16" s="39">
        <v>0</v>
      </c>
      <c r="K16" s="667">
        <f>'Rev &amp; Enroll'!F52*0.4</f>
        <v>0</v>
      </c>
      <c r="L16" s="39">
        <v>0</v>
      </c>
      <c r="M16" s="667">
        <f>'Rev &amp; Enroll'!F49</f>
        <v>384</v>
      </c>
      <c r="N16" s="39">
        <v>0</v>
      </c>
      <c r="O16" s="667">
        <f>'Rev &amp; Enroll'!F52*0.6</f>
        <v>0</v>
      </c>
      <c r="P16" s="39">
        <v>0</v>
      </c>
      <c r="Q16" s="98"/>
      <c r="R16" s="41"/>
      <c r="S16" s="355">
        <f>SUM(E16:Q16)</f>
        <v>384</v>
      </c>
      <c r="T16" s="41"/>
      <c r="U16" s="363">
        <f t="shared" si="2"/>
        <v>0</v>
      </c>
      <c r="V16" s="41"/>
      <c r="W16" s="363">
        <v>94201.62000000001</v>
      </c>
      <c r="X16" s="363">
        <f t="shared" si="8"/>
        <v>-93817.62000000001</v>
      </c>
      <c r="Y16" s="41"/>
      <c r="Z16" s="363">
        <v>78466.5</v>
      </c>
      <c r="AA16" s="363">
        <f>S16-Z16</f>
        <v>-78082.5</v>
      </c>
      <c r="AB16" s="41"/>
      <c r="AC16" s="249">
        <v>0</v>
      </c>
      <c r="AD16" s="249">
        <f>S16-AC16</f>
        <v>384</v>
      </c>
    </row>
    <row r="17" spans="1:30" s="37" customFormat="1" ht="12" x14ac:dyDescent="0.2">
      <c r="A17" s="45"/>
      <c r="C17" s="38"/>
      <c r="E17" s="50">
        <f>SUBTOTAL(9,E15:E16)</f>
        <v>0</v>
      </c>
      <c r="F17" s="50">
        <f t="shared" ref="F17:AA17" si="9">SUBTOTAL(9,F15:F16)</f>
        <v>0</v>
      </c>
      <c r="G17" s="50">
        <f t="shared" si="9"/>
        <v>0</v>
      </c>
      <c r="H17" s="50">
        <f t="shared" si="9"/>
        <v>0</v>
      </c>
      <c r="I17" s="50">
        <f t="shared" si="9"/>
        <v>0</v>
      </c>
      <c r="J17" s="50">
        <f t="shared" si="9"/>
        <v>0</v>
      </c>
      <c r="K17" s="50">
        <f t="shared" si="9"/>
        <v>0</v>
      </c>
      <c r="L17" s="50">
        <f t="shared" si="9"/>
        <v>0</v>
      </c>
      <c r="M17" s="50">
        <f t="shared" si="9"/>
        <v>384</v>
      </c>
      <c r="N17" s="50">
        <f t="shared" si="9"/>
        <v>0</v>
      </c>
      <c r="O17" s="50">
        <f t="shared" si="9"/>
        <v>0</v>
      </c>
      <c r="P17" s="50">
        <f t="shared" si="9"/>
        <v>0</v>
      </c>
      <c r="Q17" s="99"/>
      <c r="R17" s="41"/>
      <c r="S17" s="356">
        <f t="shared" si="9"/>
        <v>384</v>
      </c>
      <c r="T17" s="41"/>
      <c r="U17" s="364">
        <f t="shared" si="2"/>
        <v>0</v>
      </c>
      <c r="V17" s="41"/>
      <c r="W17" s="364">
        <v>97659.62000000001</v>
      </c>
      <c r="X17" s="364">
        <f t="shared" ref="X17" si="10">SUBTOTAL(9,X15:X16)</f>
        <v>-97275.62000000001</v>
      </c>
      <c r="Y17" s="41"/>
      <c r="Z17" s="364">
        <v>79716.5</v>
      </c>
      <c r="AA17" s="364">
        <f t="shared" si="9"/>
        <v>-79332.5</v>
      </c>
      <c r="AB17" s="41"/>
      <c r="AC17" s="251">
        <f t="shared" ref="AC17:AD17" si="11">SUBTOTAL(9,AC15:AC16)</f>
        <v>0</v>
      </c>
      <c r="AD17" s="251">
        <f t="shared" si="11"/>
        <v>384</v>
      </c>
    </row>
    <row r="18" spans="1:30" s="37" customFormat="1" ht="12" x14ac:dyDescent="0.2">
      <c r="A18" s="45"/>
      <c r="C18" s="49" t="s">
        <v>148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355"/>
      <c r="T18" s="41"/>
      <c r="U18" s="363">
        <f t="shared" si="2"/>
        <v>0</v>
      </c>
      <c r="V18" s="41"/>
      <c r="W18" s="363"/>
      <c r="X18" s="363"/>
      <c r="Y18" s="41"/>
      <c r="Z18" s="363"/>
      <c r="AA18" s="363"/>
      <c r="AB18" s="41"/>
      <c r="AC18" s="249"/>
      <c r="AD18" s="249"/>
    </row>
    <row r="19" spans="1:30" s="37" customFormat="1" ht="12" x14ac:dyDescent="0.2">
      <c r="A19" s="45"/>
      <c r="C19" s="200">
        <v>4500</v>
      </c>
      <c r="D19" s="37" t="s">
        <v>6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667">
        <f>'Rev &amp; Enroll'!F56*0.4</f>
        <v>0</v>
      </c>
      <c r="L19" s="39">
        <v>0</v>
      </c>
      <c r="M19" s="39">
        <v>0</v>
      </c>
      <c r="N19" s="39">
        <v>0</v>
      </c>
      <c r="O19" s="39">
        <v>0</v>
      </c>
      <c r="P19" s="667">
        <f>'Rev &amp; Enroll'!F56*0.6</f>
        <v>0</v>
      </c>
      <c r="Q19" s="98"/>
      <c r="R19" s="41"/>
      <c r="S19" s="355">
        <f t="shared" ref="S19:S20" si="12">SUM(E19:Q19)</f>
        <v>0</v>
      </c>
      <c r="T19" s="41"/>
      <c r="U19" s="363">
        <f t="shared" si="2"/>
        <v>0</v>
      </c>
      <c r="V19" s="41"/>
      <c r="W19" s="363">
        <v>0</v>
      </c>
      <c r="X19" s="363">
        <f t="shared" ref="X19:X21" si="13">S19-W19</f>
        <v>0</v>
      </c>
      <c r="Y19" s="41"/>
      <c r="Z19" s="363">
        <v>0</v>
      </c>
      <c r="AA19" s="363">
        <f>S19-Z19</f>
        <v>0</v>
      </c>
      <c r="AB19" s="41"/>
      <c r="AC19" s="249">
        <v>0</v>
      </c>
      <c r="AD19" s="249">
        <f>S19-AC19</f>
        <v>0</v>
      </c>
    </row>
    <row r="20" spans="1:30" s="37" customFormat="1" ht="12" x14ac:dyDescent="0.2">
      <c r="A20" s="45"/>
      <c r="C20" s="200">
        <v>4571</v>
      </c>
      <c r="D20" s="37" t="s">
        <v>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667">
        <f>'Rev &amp; Enroll'!F59*0.4</f>
        <v>0</v>
      </c>
      <c r="K20" s="39">
        <v>0</v>
      </c>
      <c r="L20" s="39">
        <v>0</v>
      </c>
      <c r="M20" s="39">
        <v>0</v>
      </c>
      <c r="N20" s="39">
        <v>0</v>
      </c>
      <c r="O20" s="667">
        <f>'Rev &amp; Enroll'!F59*0.6</f>
        <v>0</v>
      </c>
      <c r="P20" s="39">
        <v>0</v>
      </c>
      <c r="Q20" s="98"/>
      <c r="R20" s="41"/>
      <c r="S20" s="357">
        <f t="shared" si="12"/>
        <v>0</v>
      </c>
      <c r="T20" s="41"/>
      <c r="U20" s="365">
        <f t="shared" si="2"/>
        <v>0</v>
      </c>
      <c r="V20" s="41"/>
      <c r="W20" s="365">
        <v>0</v>
      </c>
      <c r="X20" s="363">
        <f t="shared" si="13"/>
        <v>0</v>
      </c>
      <c r="Y20" s="41"/>
      <c r="Z20" s="365">
        <v>0</v>
      </c>
      <c r="AA20" s="365">
        <f>S20-Z20</f>
        <v>0</v>
      </c>
      <c r="AB20" s="41"/>
      <c r="AC20" s="252">
        <v>0</v>
      </c>
      <c r="AD20" s="252">
        <f>S20-AC20</f>
        <v>0</v>
      </c>
    </row>
    <row r="21" spans="1:30" s="37" customFormat="1" ht="12" x14ac:dyDescent="0.2">
      <c r="A21" s="45"/>
      <c r="C21" s="38">
        <v>4703</v>
      </c>
      <c r="D21" s="37" t="s">
        <v>185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f>+'Rev &amp; Enroll'!$F$60/4</f>
        <v>0</v>
      </c>
      <c r="P21" s="39">
        <v>0</v>
      </c>
      <c r="Q21" s="98"/>
      <c r="R21" s="41"/>
      <c r="S21" s="357">
        <f t="shared" ref="S21" si="14">SUM(E21:Q21)</f>
        <v>0</v>
      </c>
      <c r="T21" s="41"/>
      <c r="U21" s="365">
        <f t="shared" si="2"/>
        <v>0</v>
      </c>
      <c r="V21" s="41"/>
      <c r="W21" s="365">
        <v>0</v>
      </c>
      <c r="X21" s="363">
        <f t="shared" si="13"/>
        <v>0</v>
      </c>
      <c r="Y21" s="41"/>
      <c r="Z21" s="365">
        <v>0</v>
      </c>
      <c r="AA21" s="365">
        <f>S21-Z21</f>
        <v>0</v>
      </c>
      <c r="AB21" s="41"/>
      <c r="AC21" s="252">
        <v>0</v>
      </c>
      <c r="AD21" s="252">
        <f>S21-AC21</f>
        <v>0</v>
      </c>
    </row>
    <row r="22" spans="1:30" s="37" customFormat="1" ht="12" x14ac:dyDescent="0.2">
      <c r="A22" s="45"/>
      <c r="C22" s="38"/>
      <c r="E22" s="50">
        <f>SUBTOTAL(9,E19:E21)</f>
        <v>0</v>
      </c>
      <c r="F22" s="50">
        <f t="shared" ref="F22:P22" si="15">SUBTOTAL(9,F19:F21)</f>
        <v>0</v>
      </c>
      <c r="G22" s="50">
        <f t="shared" si="15"/>
        <v>0</v>
      </c>
      <c r="H22" s="50">
        <f t="shared" si="15"/>
        <v>0</v>
      </c>
      <c r="I22" s="50">
        <f t="shared" ref="I22" si="16">SUBTOTAL(9,I19:I21)</f>
        <v>0</v>
      </c>
      <c r="J22" s="50">
        <f t="shared" si="15"/>
        <v>0</v>
      </c>
      <c r="K22" s="50">
        <f t="shared" si="15"/>
        <v>0</v>
      </c>
      <c r="L22" s="50">
        <f t="shared" ref="L22" si="17">SUBTOTAL(9,L19:L21)</f>
        <v>0</v>
      </c>
      <c r="M22" s="50">
        <f t="shared" si="15"/>
        <v>0</v>
      </c>
      <c r="N22" s="50">
        <f t="shared" si="15"/>
        <v>0</v>
      </c>
      <c r="O22" s="50">
        <f t="shared" ref="O22" si="18">SUBTOTAL(9,O19:O21)</f>
        <v>0</v>
      </c>
      <c r="P22" s="50">
        <f t="shared" si="15"/>
        <v>0</v>
      </c>
      <c r="Q22" s="99"/>
      <c r="R22" s="41"/>
      <c r="S22" s="356">
        <f>SUBTOTAL(9,S19:S21)</f>
        <v>0</v>
      </c>
      <c r="T22" s="41"/>
      <c r="U22" s="364">
        <f t="shared" si="2"/>
        <v>0</v>
      </c>
      <c r="V22" s="41"/>
      <c r="W22" s="364">
        <v>0</v>
      </c>
      <c r="X22" s="364">
        <f>SUBTOTAL(9,X19:X21)</f>
        <v>0</v>
      </c>
      <c r="Y22" s="41"/>
      <c r="Z22" s="364">
        <v>0</v>
      </c>
      <c r="AA22" s="364">
        <f>SUBTOTAL(9,AA19:AA21)</f>
        <v>0</v>
      </c>
      <c r="AB22" s="41"/>
      <c r="AC22" s="251">
        <f>SUBTOTAL(9,AC19:AC21)</f>
        <v>0</v>
      </c>
      <c r="AD22" s="251">
        <f>SUBTOTAL(9,AD19:AD21)</f>
        <v>0</v>
      </c>
    </row>
    <row r="23" spans="1:30" s="37" customFormat="1" ht="12" x14ac:dyDescent="0.2">
      <c r="A23" s="45"/>
      <c r="C23" s="49" t="s">
        <v>149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357"/>
      <c r="T23" s="41"/>
      <c r="U23" s="365">
        <f t="shared" si="2"/>
        <v>0</v>
      </c>
      <c r="V23" s="41"/>
      <c r="W23" s="365"/>
      <c r="X23" s="365"/>
      <c r="Y23" s="41"/>
      <c r="Z23" s="365"/>
      <c r="AA23" s="365"/>
      <c r="AB23" s="41"/>
      <c r="AC23" s="252"/>
      <c r="AD23" s="252"/>
    </row>
    <row r="24" spans="1:30" s="37" customFormat="1" ht="12" x14ac:dyDescent="0.2">
      <c r="A24" s="45"/>
      <c r="C24" s="200">
        <v>1790</v>
      </c>
      <c r="D24" s="37" t="s">
        <v>4</v>
      </c>
      <c r="E24" s="39">
        <v>0</v>
      </c>
      <c r="F24" s="39">
        <v>0</v>
      </c>
      <c r="G24" s="39">
        <v>0</v>
      </c>
      <c r="H24" s="39">
        <v>0</v>
      </c>
      <c r="I24" s="39">
        <f>(+'Rev &amp; Enroll'!$F$63+'Rev &amp; Enroll'!$F$64+'Rev &amp; Enroll'!$F$65)/4</f>
        <v>0</v>
      </c>
      <c r="J24" s="39">
        <v>0</v>
      </c>
      <c r="K24" s="39">
        <v>0</v>
      </c>
      <c r="L24" s="39">
        <f>(+'Rev &amp; Enroll'!$F$63+'Rev &amp; Enroll'!$F$64+'Rev &amp; Enroll'!$F$65)/4</f>
        <v>0</v>
      </c>
      <c r="M24" s="39">
        <v>0</v>
      </c>
      <c r="N24" s="39">
        <v>0</v>
      </c>
      <c r="O24" s="39">
        <f>(+'Rev &amp; Enroll'!$F$63+'Rev &amp; Enroll'!$F$64+'Rev &amp; Enroll'!$F$65)/4</f>
        <v>0</v>
      </c>
      <c r="P24" s="39">
        <v>0</v>
      </c>
      <c r="Q24" s="98"/>
      <c r="R24" s="41"/>
      <c r="S24" s="355">
        <f>SUM(E24:Q24)</f>
        <v>0</v>
      </c>
      <c r="T24" s="41"/>
      <c r="U24" s="363">
        <f t="shared" si="2"/>
        <v>0</v>
      </c>
      <c r="V24" s="41"/>
      <c r="W24" s="363">
        <v>0</v>
      </c>
      <c r="X24" s="363">
        <f t="shared" ref="X24" si="19">S24-W24</f>
        <v>0</v>
      </c>
      <c r="Y24" s="41"/>
      <c r="Z24" s="363">
        <v>0</v>
      </c>
      <c r="AA24" s="363">
        <f>S24-Z24</f>
        <v>0</v>
      </c>
      <c r="AB24" s="41"/>
      <c r="AC24" s="249">
        <v>0</v>
      </c>
      <c r="AD24" s="249">
        <f>S24-AC24</f>
        <v>0</v>
      </c>
    </row>
    <row r="25" spans="1:30" s="37" customFormat="1" ht="12" x14ac:dyDescent="0.2">
      <c r="A25" s="45"/>
      <c r="C25" s="38"/>
      <c r="E25" s="50">
        <f>SUBTOTAL(9,E24)</f>
        <v>0</v>
      </c>
      <c r="F25" s="50">
        <f t="shared" ref="F25:S25" si="20">SUBTOTAL(9,F24)</f>
        <v>0</v>
      </c>
      <c r="G25" s="50">
        <f t="shared" si="20"/>
        <v>0</v>
      </c>
      <c r="H25" s="50">
        <f t="shared" si="20"/>
        <v>0</v>
      </c>
      <c r="I25" s="50">
        <f t="shared" ref="I25" si="21">SUBTOTAL(9,I24)</f>
        <v>0</v>
      </c>
      <c r="J25" s="50">
        <f t="shared" si="20"/>
        <v>0</v>
      </c>
      <c r="K25" s="50">
        <f t="shared" si="20"/>
        <v>0</v>
      </c>
      <c r="L25" s="50">
        <f t="shared" ref="L25" si="22">SUBTOTAL(9,L24)</f>
        <v>0</v>
      </c>
      <c r="M25" s="50">
        <f t="shared" si="20"/>
        <v>0</v>
      </c>
      <c r="N25" s="50">
        <f t="shared" si="20"/>
        <v>0</v>
      </c>
      <c r="O25" s="50">
        <f t="shared" ref="O25" si="23">SUBTOTAL(9,O24)</f>
        <v>0</v>
      </c>
      <c r="P25" s="50">
        <f t="shared" si="20"/>
        <v>0</v>
      </c>
      <c r="Q25" s="99"/>
      <c r="R25" s="41"/>
      <c r="S25" s="356">
        <f t="shared" si="20"/>
        <v>0</v>
      </c>
      <c r="T25" s="41"/>
      <c r="U25" s="364">
        <f t="shared" si="2"/>
        <v>0</v>
      </c>
      <c r="V25" s="41"/>
      <c r="W25" s="364">
        <v>0</v>
      </c>
      <c r="X25" s="364">
        <f>SUBTOTAL(9,X24)</f>
        <v>0</v>
      </c>
      <c r="Y25" s="41"/>
      <c r="Z25" s="364">
        <v>0</v>
      </c>
      <c r="AA25" s="364">
        <f>SUBTOTAL(9,AA24)</f>
        <v>0</v>
      </c>
      <c r="AB25" s="41"/>
      <c r="AC25" s="251">
        <f t="shared" ref="AC25:AD25" si="24">SUBTOTAL(9,AC24)</f>
        <v>0</v>
      </c>
      <c r="AD25" s="251">
        <f t="shared" si="24"/>
        <v>0</v>
      </c>
    </row>
    <row r="26" spans="1:30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355"/>
      <c r="T26" s="41"/>
      <c r="U26" s="363">
        <f t="shared" si="2"/>
        <v>0</v>
      </c>
      <c r="V26" s="41"/>
      <c r="W26" s="363"/>
      <c r="X26" s="363"/>
      <c r="Y26" s="41"/>
      <c r="Z26" s="363"/>
      <c r="AA26" s="363"/>
      <c r="AB26" s="41"/>
      <c r="AC26" s="249"/>
      <c r="AD26" s="249"/>
    </row>
    <row r="27" spans="1:30" s="45" customFormat="1" ht="12" x14ac:dyDescent="0.2">
      <c r="A27" s="45" t="s">
        <v>105</v>
      </c>
      <c r="C27" s="46"/>
      <c r="E27" s="43">
        <f t="shared" ref="E27:P27" si="25">SUBTOTAL(9,E8:E26)</f>
        <v>113399.99999999999</v>
      </c>
      <c r="F27" s="43">
        <f t="shared" si="25"/>
        <v>113399.99999999999</v>
      </c>
      <c r="G27" s="43">
        <f t="shared" si="25"/>
        <v>113399.99999999999</v>
      </c>
      <c r="H27" s="43">
        <f t="shared" si="25"/>
        <v>113399.99999999999</v>
      </c>
      <c r="I27" s="43">
        <f t="shared" si="25"/>
        <v>113399.99999999999</v>
      </c>
      <c r="J27" s="43">
        <f t="shared" si="25"/>
        <v>113399.99999999999</v>
      </c>
      <c r="K27" s="43">
        <f t="shared" si="25"/>
        <v>113399.99999999999</v>
      </c>
      <c r="L27" s="43">
        <f t="shared" si="25"/>
        <v>113399.99999999999</v>
      </c>
      <c r="M27" s="43">
        <f t="shared" si="25"/>
        <v>113783.99999999999</v>
      </c>
      <c r="N27" s="43">
        <f t="shared" si="25"/>
        <v>113399.99999999999</v>
      </c>
      <c r="O27" s="43">
        <f t="shared" si="25"/>
        <v>113399.99999999999</v>
      </c>
      <c r="P27" s="43">
        <f t="shared" si="25"/>
        <v>113395.46400000001</v>
      </c>
      <c r="Q27" s="197"/>
      <c r="R27" s="48"/>
      <c r="S27" s="358">
        <f>SUBTOTAL(9,S8:S26)</f>
        <v>1361179.4639999997</v>
      </c>
      <c r="T27" s="48"/>
      <c r="U27" s="366">
        <f t="shared" si="2"/>
        <v>907199.99999999988</v>
      </c>
      <c r="V27" s="48"/>
      <c r="W27" s="366">
        <v>680859.62</v>
      </c>
      <c r="X27" s="366">
        <f>SUBTOTAL(9,X8:X26)</f>
        <v>680319.84399999981</v>
      </c>
      <c r="Y27" s="48"/>
      <c r="Z27" s="366">
        <v>883716.5</v>
      </c>
      <c r="AA27" s="366">
        <f>SUBTOTAL(9,AA8:AA26)</f>
        <v>477462.96399999992</v>
      </c>
      <c r="AB27" s="48"/>
      <c r="AC27" s="253">
        <f>SUBTOTAL(9,AC8:AC26)</f>
        <v>0</v>
      </c>
      <c r="AD27" s="253">
        <f>SUBTOTAL(9,AD8:AD26)</f>
        <v>1361179.4639999997</v>
      </c>
    </row>
    <row r="28" spans="1:30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355"/>
      <c r="T28" s="48"/>
      <c r="U28" s="279">
        <f t="shared" si="2"/>
        <v>0</v>
      </c>
      <c r="V28" s="48"/>
      <c r="W28" s="279"/>
      <c r="X28" s="279"/>
      <c r="Y28" s="48"/>
      <c r="Z28" s="279"/>
      <c r="AA28" s="279"/>
      <c r="AB28" s="48"/>
      <c r="AC28" s="254"/>
      <c r="AD28" s="254"/>
    </row>
    <row r="29" spans="1:30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355"/>
      <c r="T29" s="41"/>
      <c r="U29" s="363">
        <f t="shared" si="2"/>
        <v>0</v>
      </c>
      <c r="V29" s="41"/>
      <c r="W29" s="363"/>
      <c r="X29" s="363"/>
      <c r="Y29" s="41"/>
      <c r="Z29" s="363"/>
      <c r="AA29" s="363"/>
      <c r="AB29" s="41"/>
      <c r="AC29" s="249"/>
      <c r="AD29" s="249"/>
    </row>
    <row r="30" spans="1:30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355"/>
      <c r="T30" s="41"/>
      <c r="U30" s="363">
        <f t="shared" si="2"/>
        <v>0</v>
      </c>
      <c r="V30" s="41"/>
      <c r="W30" s="363"/>
      <c r="X30" s="363"/>
      <c r="Y30" s="41"/>
      <c r="Z30" s="363"/>
      <c r="AA30" s="363"/>
      <c r="AB30" s="41"/>
      <c r="AC30" s="249"/>
      <c r="AD30" s="249"/>
    </row>
    <row r="31" spans="1:30" s="37" customFormat="1" ht="12" x14ac:dyDescent="0.2">
      <c r="C31" s="200">
        <v>6111</v>
      </c>
      <c r="D31" s="37" t="s">
        <v>191</v>
      </c>
      <c r="E31" s="39">
        <f>Payroll!L14</f>
        <v>9120.2137500000008</v>
      </c>
      <c r="F31" s="39">
        <f>Payroll!M14</f>
        <v>9120.2137500000008</v>
      </c>
      <c r="G31" s="39">
        <f>Payroll!N14</f>
        <v>9120.2137500000008</v>
      </c>
      <c r="H31" s="39">
        <f>Payroll!O14</f>
        <v>9120.2137500000008</v>
      </c>
      <c r="I31" s="39">
        <f>Payroll!P14</f>
        <v>9120.2137500000008</v>
      </c>
      <c r="J31" s="39">
        <f>Payroll!Q14</f>
        <v>9120.2137500000008</v>
      </c>
      <c r="K31" s="39">
        <f>Payroll!R14</f>
        <v>9120.2137500000008</v>
      </c>
      <c r="L31" s="39">
        <f>Payroll!S14</f>
        <v>9120.2137500000008</v>
      </c>
      <c r="M31" s="39">
        <f>Payroll!T14</f>
        <v>9120.2137500000008</v>
      </c>
      <c r="N31" s="39">
        <f>Payroll!U14</f>
        <v>9120.2137500000008</v>
      </c>
      <c r="O31" s="39">
        <f>Payroll!V14</f>
        <v>9120.2137500000008</v>
      </c>
      <c r="P31" s="39">
        <f>Payroll!W14</f>
        <v>9120.2137500000008</v>
      </c>
      <c r="Q31" s="36"/>
      <c r="R31" s="41"/>
      <c r="S31" s="355">
        <f t="shared" ref="S31" si="26">SUM(E31:Q31)</f>
        <v>109442.56499999999</v>
      </c>
      <c r="T31" s="41"/>
      <c r="U31" s="363">
        <f t="shared" si="2"/>
        <v>72961.710000000006</v>
      </c>
      <c r="V31" s="41"/>
      <c r="W31" s="363">
        <v>47521.113749999997</v>
      </c>
      <c r="X31" s="363">
        <f t="shared" ref="X31:X40" si="27">S31-W31</f>
        <v>61921.451249999991</v>
      </c>
      <c r="Y31" s="41"/>
      <c r="Z31" s="363">
        <v>51517.215000000004</v>
      </c>
      <c r="AA31" s="363">
        <f t="shared" ref="AA31:AA40" si="28">Z31-S31</f>
        <v>-57925.349999999984</v>
      </c>
      <c r="AB31" s="41"/>
      <c r="AC31" s="249">
        <v>0</v>
      </c>
      <c r="AD31" s="249">
        <f t="shared" ref="AD31:AD40" si="29">AC31-S31</f>
        <v>-109442.56499999999</v>
      </c>
    </row>
    <row r="32" spans="1:30" s="37" customFormat="1" ht="12" x14ac:dyDescent="0.2">
      <c r="C32" s="200">
        <v>6114</v>
      </c>
      <c r="D32" s="37" t="s">
        <v>192</v>
      </c>
      <c r="E32" s="39">
        <f>Payroll!L20</f>
        <v>8198.4375</v>
      </c>
      <c r="F32" s="39">
        <f>Payroll!M20</f>
        <v>8198.4375</v>
      </c>
      <c r="G32" s="39">
        <f>Payroll!N20</f>
        <v>8198.4375</v>
      </c>
      <c r="H32" s="39">
        <f>Payroll!O20</f>
        <v>8198.4375</v>
      </c>
      <c r="I32" s="39">
        <f>Payroll!P20</f>
        <v>8198.4375</v>
      </c>
      <c r="J32" s="39">
        <f>Payroll!Q20</f>
        <v>8198.4375</v>
      </c>
      <c r="K32" s="39">
        <f>Payroll!R20</f>
        <v>8198.4375</v>
      </c>
      <c r="L32" s="39">
        <f>Payroll!S20</f>
        <v>8198.4375</v>
      </c>
      <c r="M32" s="39">
        <f>Payroll!T20</f>
        <v>8198.4375</v>
      </c>
      <c r="N32" s="39">
        <f>Payroll!U20</f>
        <v>8198.4375</v>
      </c>
      <c r="O32" s="39">
        <f>Payroll!V20</f>
        <v>8198.4375</v>
      </c>
      <c r="P32" s="39">
        <f>Payroll!W20</f>
        <v>8198.4375</v>
      </c>
      <c r="Q32" s="36"/>
      <c r="R32" s="41"/>
      <c r="S32" s="355">
        <f t="shared" ref="S32:S39" si="30">SUM(E32:Q32)</f>
        <v>98381.25</v>
      </c>
      <c r="T32" s="41"/>
      <c r="U32" s="363">
        <f t="shared" si="2"/>
        <v>65587.5</v>
      </c>
      <c r="V32" s="41"/>
      <c r="W32" s="363">
        <v>80641.89</v>
      </c>
      <c r="X32" s="363">
        <f t="shared" si="27"/>
        <v>17739.36</v>
      </c>
      <c r="Y32" s="41"/>
      <c r="Z32" s="363">
        <v>80137.89</v>
      </c>
      <c r="AA32" s="363">
        <f t="shared" si="28"/>
        <v>-18243.36</v>
      </c>
      <c r="AB32" s="41"/>
      <c r="AC32" s="249">
        <v>0</v>
      </c>
      <c r="AD32" s="249">
        <f t="shared" si="29"/>
        <v>-98381.25</v>
      </c>
    </row>
    <row r="33" spans="3:30" s="37" customFormat="1" ht="12" x14ac:dyDescent="0.2">
      <c r="C33" s="200">
        <v>6117</v>
      </c>
      <c r="D33" s="37" t="s">
        <v>228</v>
      </c>
      <c r="E33" s="39">
        <f>Payroll!L26</f>
        <v>3840.0899999999997</v>
      </c>
      <c r="F33" s="39">
        <f>Payroll!M26</f>
        <v>3840.0899999999997</v>
      </c>
      <c r="G33" s="39">
        <f>Payroll!N26</f>
        <v>3840.0899999999997</v>
      </c>
      <c r="H33" s="39">
        <f>Payroll!O26</f>
        <v>3840.0899999999997</v>
      </c>
      <c r="I33" s="39">
        <f>Payroll!P26</f>
        <v>3840.0899999999997</v>
      </c>
      <c r="J33" s="39">
        <f>Payroll!Q26</f>
        <v>3840.0899999999997</v>
      </c>
      <c r="K33" s="39">
        <f>Payroll!R26</f>
        <v>3840.0899999999997</v>
      </c>
      <c r="L33" s="39">
        <f>Payroll!S26</f>
        <v>3840.0899999999997</v>
      </c>
      <c r="M33" s="39">
        <f>Payroll!T26</f>
        <v>3840.0899999999997</v>
      </c>
      <c r="N33" s="39">
        <f>Payroll!U26</f>
        <v>3840.0899999999997</v>
      </c>
      <c r="O33" s="39">
        <f>Payroll!V26</f>
        <v>3840.0899999999997</v>
      </c>
      <c r="P33" s="39">
        <f>Payroll!W26</f>
        <v>3840.0899999999997</v>
      </c>
      <c r="Q33" s="36"/>
      <c r="R33" s="41"/>
      <c r="S33" s="355">
        <f t="shared" si="30"/>
        <v>46081.079999999987</v>
      </c>
      <c r="T33" s="41"/>
      <c r="U33" s="363">
        <f t="shared" si="2"/>
        <v>30720.719999999998</v>
      </c>
      <c r="V33" s="41"/>
      <c r="W33" s="363">
        <v>4140.0970312499985</v>
      </c>
      <c r="X33" s="363">
        <f t="shared" si="27"/>
        <v>41940.982968749988</v>
      </c>
      <c r="Y33" s="41"/>
      <c r="Z33" s="363">
        <v>39496.531500000005</v>
      </c>
      <c r="AA33" s="363">
        <f t="shared" si="28"/>
        <v>-6584.5484999999826</v>
      </c>
      <c r="AB33" s="41"/>
      <c r="AC33" s="249">
        <v>0</v>
      </c>
      <c r="AD33" s="249">
        <f t="shared" si="29"/>
        <v>-46081.079999999987</v>
      </c>
    </row>
    <row r="34" spans="3:30" s="37" customFormat="1" ht="12" x14ac:dyDescent="0.2">
      <c r="C34" s="200">
        <v>6127</v>
      </c>
      <c r="D34" s="37" t="s">
        <v>229</v>
      </c>
      <c r="E34" s="39">
        <f>Payroll!L35</f>
        <v>3293.3333333333335</v>
      </c>
      <c r="F34" s="39">
        <f>Payroll!M35</f>
        <v>3293.3333333333335</v>
      </c>
      <c r="G34" s="39">
        <f>Payroll!N35</f>
        <v>3293.3333333333335</v>
      </c>
      <c r="H34" s="39">
        <f>Payroll!O35</f>
        <v>3293.3333333333335</v>
      </c>
      <c r="I34" s="39">
        <f>Payroll!P35</f>
        <v>3293.3333333333335</v>
      </c>
      <c r="J34" s="39">
        <f>Payroll!Q35</f>
        <v>3293.3333333333335</v>
      </c>
      <c r="K34" s="39">
        <f>Payroll!R35</f>
        <v>3293.3333333333335</v>
      </c>
      <c r="L34" s="39">
        <f>Payroll!S35</f>
        <v>3293.3333333333335</v>
      </c>
      <c r="M34" s="39">
        <f>Payroll!T35</f>
        <v>3293.3333333333335</v>
      </c>
      <c r="N34" s="39">
        <f>Payroll!U35</f>
        <v>3293.3333333333335</v>
      </c>
      <c r="O34" s="39">
        <f>Payroll!V35</f>
        <v>3293.3333333333335</v>
      </c>
      <c r="P34" s="39">
        <f>Payroll!W35</f>
        <v>3293.3333333333335</v>
      </c>
      <c r="Q34" s="36"/>
      <c r="R34" s="41"/>
      <c r="S34" s="355">
        <f t="shared" si="30"/>
        <v>39520</v>
      </c>
      <c r="T34" s="41"/>
      <c r="U34" s="363">
        <f t="shared" si="2"/>
        <v>26346.666666666664</v>
      </c>
      <c r="V34" s="41"/>
      <c r="W34" s="363">
        <v>0</v>
      </c>
      <c r="X34" s="363">
        <f t="shared" si="27"/>
        <v>39520</v>
      </c>
      <c r="Y34" s="41"/>
      <c r="Z34" s="363">
        <v>8840.0000000000018</v>
      </c>
      <c r="AA34" s="363">
        <f t="shared" si="28"/>
        <v>-30680</v>
      </c>
      <c r="AB34" s="41"/>
      <c r="AC34" s="249">
        <v>0</v>
      </c>
      <c r="AD34" s="249">
        <f t="shared" si="29"/>
        <v>-39520</v>
      </c>
    </row>
    <row r="35" spans="3:30" s="37" customFormat="1" ht="12" x14ac:dyDescent="0.2">
      <c r="C35" s="200">
        <v>6151</v>
      </c>
      <c r="D35" s="37" t="s">
        <v>189</v>
      </c>
      <c r="E35" s="39">
        <f>Payroll!L42</f>
        <v>0</v>
      </c>
      <c r="F35" s="39">
        <f>Payroll!M42</f>
        <v>0</v>
      </c>
      <c r="G35" s="39">
        <f>Payroll!N42</f>
        <v>1500</v>
      </c>
      <c r="H35" s="39">
        <f>Payroll!O42</f>
        <v>1500</v>
      </c>
      <c r="I35" s="39">
        <f>Payroll!P42</f>
        <v>0</v>
      </c>
      <c r="J35" s="39">
        <f>Payroll!Q42</f>
        <v>0</v>
      </c>
      <c r="K35" s="39">
        <f>Payroll!R42</f>
        <v>0</v>
      </c>
      <c r="L35" s="39">
        <f>Payroll!S42</f>
        <v>1500</v>
      </c>
      <c r="M35" s="39">
        <f>Payroll!T42</f>
        <v>1500</v>
      </c>
      <c r="N35" s="39">
        <f>Payroll!U42</f>
        <v>0</v>
      </c>
      <c r="O35" s="39">
        <f>Payroll!V42</f>
        <v>0</v>
      </c>
      <c r="P35" s="39">
        <f>Payroll!W42</f>
        <v>0</v>
      </c>
      <c r="Q35" s="36"/>
      <c r="R35" s="41"/>
      <c r="S35" s="355">
        <f t="shared" si="30"/>
        <v>6000</v>
      </c>
      <c r="T35" s="41"/>
      <c r="U35" s="363">
        <f t="shared" si="2"/>
        <v>4500</v>
      </c>
      <c r="V35" s="41"/>
      <c r="W35" s="363">
        <v>3000</v>
      </c>
      <c r="X35" s="363">
        <f t="shared" si="27"/>
        <v>3000</v>
      </c>
      <c r="Y35" s="41"/>
      <c r="Z35" s="363">
        <v>3000</v>
      </c>
      <c r="AA35" s="363">
        <f t="shared" si="28"/>
        <v>-3000</v>
      </c>
      <c r="AB35" s="41"/>
      <c r="AC35" s="249">
        <v>0</v>
      </c>
      <c r="AD35" s="249">
        <f t="shared" si="29"/>
        <v>-6000</v>
      </c>
    </row>
    <row r="36" spans="3:30" s="37" customFormat="1" ht="12" x14ac:dyDescent="0.2">
      <c r="C36" s="200">
        <v>6154</v>
      </c>
      <c r="D36" s="37" t="s">
        <v>190</v>
      </c>
      <c r="E36" s="39">
        <f>Payroll!L48</f>
        <v>0</v>
      </c>
      <c r="F36" s="39">
        <f>Payroll!M48</f>
        <v>0</v>
      </c>
      <c r="G36" s="39">
        <f>Payroll!N48</f>
        <v>929</v>
      </c>
      <c r="H36" s="39">
        <f>Payroll!O48</f>
        <v>0</v>
      </c>
      <c r="I36" s="39">
        <f>Payroll!P48</f>
        <v>929</v>
      </c>
      <c r="J36" s="39">
        <f>Payroll!Q48</f>
        <v>0</v>
      </c>
      <c r="K36" s="39">
        <f>Payroll!R48</f>
        <v>929</v>
      </c>
      <c r="L36" s="39">
        <f>Payroll!S48</f>
        <v>0</v>
      </c>
      <c r="M36" s="39">
        <f>Payroll!T48</f>
        <v>929</v>
      </c>
      <c r="N36" s="39">
        <f>Payroll!U48</f>
        <v>929</v>
      </c>
      <c r="O36" s="39">
        <f>Payroll!V48</f>
        <v>0</v>
      </c>
      <c r="P36" s="39">
        <f>Payroll!W48</f>
        <v>2250</v>
      </c>
      <c r="Q36" s="36"/>
      <c r="R36" s="41"/>
      <c r="S36" s="355">
        <f t="shared" si="30"/>
        <v>6895</v>
      </c>
      <c r="T36" s="41"/>
      <c r="U36" s="363">
        <f t="shared" si="2"/>
        <v>2787</v>
      </c>
      <c r="V36" s="41"/>
      <c r="W36" s="363">
        <v>6750</v>
      </c>
      <c r="X36" s="363">
        <f t="shared" si="27"/>
        <v>145</v>
      </c>
      <c r="Y36" s="41"/>
      <c r="Z36" s="363">
        <v>3000</v>
      </c>
      <c r="AA36" s="363">
        <f t="shared" si="28"/>
        <v>-3895</v>
      </c>
      <c r="AB36" s="41"/>
      <c r="AC36" s="249">
        <v>0</v>
      </c>
      <c r="AD36" s="249">
        <f t="shared" si="29"/>
        <v>-6895</v>
      </c>
    </row>
    <row r="37" spans="3:30" s="37" customFormat="1" ht="12" x14ac:dyDescent="0.2">
      <c r="C37" s="200">
        <v>6157</v>
      </c>
      <c r="D37" s="37" t="s">
        <v>230</v>
      </c>
      <c r="E37" s="39">
        <f>Payroll!L54</f>
        <v>0</v>
      </c>
      <c r="F37" s="39">
        <f>Payroll!M54</f>
        <v>0</v>
      </c>
      <c r="G37" s="39">
        <f>Payroll!N54</f>
        <v>750</v>
      </c>
      <c r="H37" s="39">
        <f>Payroll!O54</f>
        <v>750</v>
      </c>
      <c r="I37" s="39">
        <f>Payroll!P54</f>
        <v>0</v>
      </c>
      <c r="J37" s="39">
        <f>Payroll!Q54</f>
        <v>0</v>
      </c>
      <c r="K37" s="39">
        <f>Payroll!R54</f>
        <v>0</v>
      </c>
      <c r="L37" s="39">
        <f>Payroll!S54</f>
        <v>750</v>
      </c>
      <c r="M37" s="39">
        <f>Payroll!T54</f>
        <v>750</v>
      </c>
      <c r="N37" s="39">
        <f>Payroll!U54</f>
        <v>0</v>
      </c>
      <c r="O37" s="39">
        <f>Payroll!V54</f>
        <v>0</v>
      </c>
      <c r="P37" s="39">
        <f>Payroll!W54</f>
        <v>0</v>
      </c>
      <c r="Q37" s="36"/>
      <c r="R37" s="41"/>
      <c r="S37" s="355">
        <f t="shared" si="30"/>
        <v>3000</v>
      </c>
      <c r="T37" s="41"/>
      <c r="U37" s="363">
        <f t="shared" si="2"/>
        <v>2250</v>
      </c>
      <c r="V37" s="41"/>
      <c r="W37" s="363">
        <v>0</v>
      </c>
      <c r="X37" s="363">
        <f t="shared" si="27"/>
        <v>3000</v>
      </c>
      <c r="Y37" s="41"/>
      <c r="Z37" s="363">
        <v>3000</v>
      </c>
      <c r="AA37" s="363">
        <f t="shared" si="28"/>
        <v>0</v>
      </c>
      <c r="AB37" s="41"/>
      <c r="AC37" s="249">
        <v>0</v>
      </c>
      <c r="AD37" s="249">
        <f t="shared" si="29"/>
        <v>-3000</v>
      </c>
    </row>
    <row r="38" spans="3:30" s="37" customFormat="1" ht="12" x14ac:dyDescent="0.2">
      <c r="C38" s="200">
        <v>6161</v>
      </c>
      <c r="D38" s="37" t="s">
        <v>97</v>
      </c>
      <c r="E38" s="39">
        <f>Payroll!L61</f>
        <v>0</v>
      </c>
      <c r="F38" s="39">
        <f>Payroll!M61</f>
        <v>0</v>
      </c>
      <c r="G38" s="39">
        <f>Payroll!N61</f>
        <v>0</v>
      </c>
      <c r="H38" s="39">
        <f>Payroll!O61</f>
        <v>300</v>
      </c>
      <c r="I38" s="39">
        <f>Payroll!P61</f>
        <v>300</v>
      </c>
      <c r="J38" s="39">
        <f>Payroll!Q61</f>
        <v>300</v>
      </c>
      <c r="K38" s="39">
        <f>Payroll!R61</f>
        <v>300</v>
      </c>
      <c r="L38" s="39">
        <f>Payroll!S61</f>
        <v>0</v>
      </c>
      <c r="M38" s="39">
        <f>Payroll!T61</f>
        <v>0</v>
      </c>
      <c r="N38" s="39">
        <f>Payroll!U61</f>
        <v>0</v>
      </c>
      <c r="O38" s="39">
        <f>Payroll!V61</f>
        <v>0</v>
      </c>
      <c r="P38" s="39">
        <f>Payroll!W61</f>
        <v>0</v>
      </c>
      <c r="Q38" s="36"/>
      <c r="R38" s="41"/>
      <c r="S38" s="355">
        <f t="shared" si="30"/>
        <v>1200</v>
      </c>
      <c r="T38" s="41"/>
      <c r="U38" s="363">
        <f t="shared" si="2"/>
        <v>1200</v>
      </c>
      <c r="V38" s="41"/>
      <c r="W38" s="363">
        <v>0</v>
      </c>
      <c r="X38" s="363">
        <f t="shared" si="27"/>
        <v>1200</v>
      </c>
      <c r="Y38" s="41"/>
      <c r="Z38" s="363">
        <v>0</v>
      </c>
      <c r="AA38" s="363">
        <f t="shared" si="28"/>
        <v>-1200</v>
      </c>
      <c r="AB38" s="41"/>
      <c r="AC38" s="249">
        <v>0</v>
      </c>
      <c r="AD38" s="249">
        <f t="shared" si="29"/>
        <v>-1200</v>
      </c>
    </row>
    <row r="39" spans="3:30" s="37" customFormat="1" ht="12" x14ac:dyDescent="0.2">
      <c r="C39" s="200">
        <v>6164</v>
      </c>
      <c r="D39" s="37" t="s">
        <v>98</v>
      </c>
      <c r="E39" s="39">
        <f>Payroll!L67</f>
        <v>0</v>
      </c>
      <c r="F39" s="39">
        <f>Payroll!M67</f>
        <v>0</v>
      </c>
      <c r="G39" s="39">
        <f>Payroll!N67</f>
        <v>0</v>
      </c>
      <c r="H39" s="39">
        <f>Payroll!O67</f>
        <v>250</v>
      </c>
      <c r="I39" s="39">
        <f>Payroll!P67</f>
        <v>250</v>
      </c>
      <c r="J39" s="39">
        <f>Payroll!Q67</f>
        <v>250</v>
      </c>
      <c r="K39" s="39">
        <f>Payroll!R67</f>
        <v>250</v>
      </c>
      <c r="L39" s="39">
        <f>Payroll!S67</f>
        <v>0</v>
      </c>
      <c r="M39" s="39">
        <f>Payroll!T67</f>
        <v>0</v>
      </c>
      <c r="N39" s="39">
        <f>Payroll!U67</f>
        <v>0</v>
      </c>
      <c r="O39" s="39">
        <f>Payroll!V67</f>
        <v>0</v>
      </c>
      <c r="P39" s="39">
        <f>Payroll!W67</f>
        <v>0</v>
      </c>
      <c r="Q39" s="36"/>
      <c r="R39" s="41"/>
      <c r="S39" s="355">
        <f t="shared" si="30"/>
        <v>1000</v>
      </c>
      <c r="T39" s="41"/>
      <c r="U39" s="363">
        <f t="shared" si="2"/>
        <v>1000</v>
      </c>
      <c r="V39" s="41"/>
      <c r="W39" s="363">
        <v>0</v>
      </c>
      <c r="X39" s="363">
        <f t="shared" si="27"/>
        <v>1000</v>
      </c>
      <c r="Y39" s="41"/>
      <c r="Z39" s="363">
        <v>0</v>
      </c>
      <c r="AA39" s="363">
        <f t="shared" si="28"/>
        <v>-1000</v>
      </c>
      <c r="AB39" s="41"/>
      <c r="AC39" s="249">
        <v>0</v>
      </c>
      <c r="AD39" s="249">
        <f t="shared" si="29"/>
        <v>-1000</v>
      </c>
    </row>
    <row r="40" spans="3:30" s="37" customFormat="1" ht="12" x14ac:dyDescent="0.2">
      <c r="C40" s="200">
        <v>6167</v>
      </c>
      <c r="D40" s="37" t="s">
        <v>231</v>
      </c>
      <c r="E40" s="39">
        <f>Payroll!L73</f>
        <v>0</v>
      </c>
      <c r="F40" s="39">
        <f>Payroll!M73</f>
        <v>0</v>
      </c>
      <c r="G40" s="39">
        <f>Payroll!N73</f>
        <v>0</v>
      </c>
      <c r="H40" s="39">
        <f>Payroll!O73</f>
        <v>150</v>
      </c>
      <c r="I40" s="39">
        <f>Payroll!P73</f>
        <v>150</v>
      </c>
      <c r="J40" s="39">
        <f>Payroll!Q73</f>
        <v>150</v>
      </c>
      <c r="K40" s="39">
        <f>Payroll!R73</f>
        <v>150</v>
      </c>
      <c r="L40" s="39">
        <f>Payroll!S73</f>
        <v>0</v>
      </c>
      <c r="M40" s="39">
        <f>Payroll!T73</f>
        <v>0</v>
      </c>
      <c r="N40" s="39">
        <f>Payroll!U73</f>
        <v>0</v>
      </c>
      <c r="O40" s="39">
        <f>Payroll!V73</f>
        <v>0</v>
      </c>
      <c r="P40" s="39">
        <f>Payroll!W73</f>
        <v>0</v>
      </c>
      <c r="Q40" s="36"/>
      <c r="R40" s="41"/>
      <c r="S40" s="355">
        <f>SUM(E40:Q40)</f>
        <v>600</v>
      </c>
      <c r="T40" s="41"/>
      <c r="U40" s="363">
        <f t="shared" si="2"/>
        <v>600</v>
      </c>
      <c r="V40" s="41"/>
      <c r="W40" s="363">
        <v>0</v>
      </c>
      <c r="X40" s="363">
        <f t="shared" si="27"/>
        <v>600</v>
      </c>
      <c r="Y40" s="41"/>
      <c r="Z40" s="363">
        <v>0</v>
      </c>
      <c r="AA40" s="363">
        <f t="shared" si="28"/>
        <v>-600</v>
      </c>
      <c r="AB40" s="41"/>
      <c r="AC40" s="249">
        <v>0</v>
      </c>
      <c r="AD40" s="249">
        <f t="shared" si="29"/>
        <v>-600</v>
      </c>
    </row>
    <row r="41" spans="3:30" s="37" customFormat="1" ht="12" x14ac:dyDescent="0.2">
      <c r="C41" s="38"/>
      <c r="E41" s="50">
        <f t="shared" ref="E41:O41" si="31">SUBTOTAL(9,E31:E40)</f>
        <v>24452.074583333335</v>
      </c>
      <c r="F41" s="50">
        <f t="shared" si="31"/>
        <v>24452.074583333335</v>
      </c>
      <c r="G41" s="50">
        <f t="shared" si="31"/>
        <v>27631.074583333335</v>
      </c>
      <c r="H41" s="50">
        <f t="shared" si="31"/>
        <v>27402.074583333335</v>
      </c>
      <c r="I41" s="50">
        <f t="shared" si="31"/>
        <v>26081.074583333335</v>
      </c>
      <c r="J41" s="50">
        <f t="shared" si="31"/>
        <v>25152.074583333335</v>
      </c>
      <c r="K41" s="50">
        <f t="shared" si="31"/>
        <v>26081.074583333335</v>
      </c>
      <c r="L41" s="50">
        <f t="shared" si="31"/>
        <v>26702.074583333335</v>
      </c>
      <c r="M41" s="50">
        <f t="shared" si="31"/>
        <v>27631.074583333335</v>
      </c>
      <c r="N41" s="50">
        <f t="shared" si="31"/>
        <v>25381.074583333335</v>
      </c>
      <c r="O41" s="50">
        <f t="shared" si="31"/>
        <v>24452.074583333335</v>
      </c>
      <c r="P41" s="50">
        <f t="shared" ref="P41" si="32">SUBTOTAL(9,P31:P40)</f>
        <v>26702.074583333335</v>
      </c>
      <c r="Q41" s="51"/>
      <c r="R41" s="41"/>
      <c r="S41" s="356">
        <f>SUBTOTAL(9,S31:S40)</f>
        <v>312119.89500000002</v>
      </c>
      <c r="T41" s="41"/>
      <c r="U41" s="364">
        <f t="shared" si="2"/>
        <v>207953.59666666668</v>
      </c>
      <c r="V41" s="41"/>
      <c r="W41" s="364">
        <v>142053.10078124999</v>
      </c>
      <c r="X41" s="364">
        <f>SUBTOTAL(9,X31:X40)</f>
        <v>170066.79421874997</v>
      </c>
      <c r="Y41" s="41"/>
      <c r="Z41" s="364">
        <v>188991.63650000002</v>
      </c>
      <c r="AA41" s="364">
        <f>SUBTOTAL(9,AA31:AA40)</f>
        <v>-123128.25849999997</v>
      </c>
      <c r="AB41" s="41"/>
      <c r="AC41" s="251">
        <f>SUBTOTAL(9,AC31:AC40)</f>
        <v>0</v>
      </c>
      <c r="AD41" s="251">
        <f>SUBTOTAL(9,AD31:AD40)</f>
        <v>-312119.89500000002</v>
      </c>
    </row>
    <row r="42" spans="3:30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355"/>
      <c r="T42" s="41"/>
      <c r="U42" s="363">
        <f t="shared" si="2"/>
        <v>0</v>
      </c>
      <c r="V42" s="41"/>
      <c r="W42" s="363"/>
      <c r="X42" s="363"/>
      <c r="Y42" s="41"/>
      <c r="Z42" s="363"/>
      <c r="AA42" s="363"/>
      <c r="AB42" s="41"/>
      <c r="AC42" s="249"/>
      <c r="AD42" s="249"/>
    </row>
    <row r="43" spans="3:30" s="37" customFormat="1" ht="12" x14ac:dyDescent="0.2">
      <c r="C43" s="200">
        <v>6211</v>
      </c>
      <c r="D43" s="37" t="s">
        <v>198</v>
      </c>
      <c r="E43" s="39">
        <f>Payroll!L96</f>
        <v>74</v>
      </c>
      <c r="F43" s="39">
        <f>Payroll!M96</f>
        <v>74</v>
      </c>
      <c r="G43" s="39">
        <f>Payroll!N96</f>
        <v>74</v>
      </c>
      <c r="H43" s="39">
        <f>Payroll!O96</f>
        <v>74</v>
      </c>
      <c r="I43" s="39">
        <f>Payroll!P96</f>
        <v>74</v>
      </c>
      <c r="J43" s="39">
        <f>Payroll!Q96</f>
        <v>74</v>
      </c>
      <c r="K43" s="39">
        <f>Payroll!R96</f>
        <v>74</v>
      </c>
      <c r="L43" s="39">
        <f>Payroll!S96</f>
        <v>74</v>
      </c>
      <c r="M43" s="39">
        <f>Payroll!T96</f>
        <v>74</v>
      </c>
      <c r="N43" s="39">
        <f>Payroll!U96</f>
        <v>74</v>
      </c>
      <c r="O43" s="39">
        <f>Payroll!V96</f>
        <v>74</v>
      </c>
      <c r="P43" s="39">
        <f>Payroll!W96</f>
        <v>74</v>
      </c>
      <c r="Q43" s="36"/>
      <c r="R43" s="41"/>
      <c r="S43" s="355">
        <f t="shared" ref="S43:S61" si="33">SUM(E43:Q43)</f>
        <v>888</v>
      </c>
      <c r="T43" s="41"/>
      <c r="U43" s="363">
        <f t="shared" si="2"/>
        <v>592</v>
      </c>
      <c r="V43" s="41"/>
      <c r="W43" s="363">
        <v>444</v>
      </c>
      <c r="X43" s="363">
        <f t="shared" ref="X43:X61" si="34">S43-W43</f>
        <v>444</v>
      </c>
      <c r="Y43" s="41"/>
      <c r="Z43" s="363">
        <v>444</v>
      </c>
      <c r="AA43" s="363">
        <f t="shared" ref="AA43:AA61" si="35">Z43-S43</f>
        <v>-444</v>
      </c>
      <c r="AB43" s="41"/>
      <c r="AC43" s="249">
        <v>0</v>
      </c>
      <c r="AD43" s="249">
        <f t="shared" ref="AD43:AD61" si="36">AC43-S43</f>
        <v>-888</v>
      </c>
    </row>
    <row r="44" spans="3:30" s="37" customFormat="1" ht="12" x14ac:dyDescent="0.2">
      <c r="C44" s="200">
        <v>6214</v>
      </c>
      <c r="D44" s="37" t="s">
        <v>199</v>
      </c>
      <c r="E44" s="39">
        <f>Payroll!L97</f>
        <v>37</v>
      </c>
      <c r="F44" s="39">
        <f>Payroll!M97</f>
        <v>37</v>
      </c>
      <c r="G44" s="39">
        <f>Payroll!N97</f>
        <v>37</v>
      </c>
      <c r="H44" s="39">
        <f>Payroll!O97</f>
        <v>37</v>
      </c>
      <c r="I44" s="39">
        <f>Payroll!P97</f>
        <v>37</v>
      </c>
      <c r="J44" s="39">
        <f>Payroll!Q97</f>
        <v>37</v>
      </c>
      <c r="K44" s="39">
        <f>Payroll!R97</f>
        <v>37</v>
      </c>
      <c r="L44" s="39">
        <f>Payroll!S97</f>
        <v>37</v>
      </c>
      <c r="M44" s="39">
        <f>Payroll!T97</f>
        <v>37</v>
      </c>
      <c r="N44" s="39">
        <f>Payroll!U97</f>
        <v>37</v>
      </c>
      <c r="O44" s="39">
        <f>Payroll!V97</f>
        <v>37</v>
      </c>
      <c r="P44" s="39">
        <f>Payroll!W97</f>
        <v>37</v>
      </c>
      <c r="Q44" s="36"/>
      <c r="R44" s="41"/>
      <c r="S44" s="355">
        <f t="shared" si="33"/>
        <v>444</v>
      </c>
      <c r="T44" s="41"/>
      <c r="U44" s="363">
        <f t="shared" si="2"/>
        <v>296</v>
      </c>
      <c r="V44" s="41"/>
      <c r="W44" s="363">
        <v>444</v>
      </c>
      <c r="X44" s="363">
        <f t="shared" si="34"/>
        <v>0</v>
      </c>
      <c r="Y44" s="41"/>
      <c r="Z44" s="363">
        <v>444</v>
      </c>
      <c r="AA44" s="363">
        <f t="shared" si="35"/>
        <v>0</v>
      </c>
      <c r="AB44" s="41"/>
      <c r="AC44" s="249">
        <v>0</v>
      </c>
      <c r="AD44" s="249">
        <f t="shared" si="36"/>
        <v>-444</v>
      </c>
    </row>
    <row r="45" spans="3:30" s="37" customFormat="1" ht="12" x14ac:dyDescent="0.2">
      <c r="C45" s="200">
        <v>6217</v>
      </c>
      <c r="D45" s="37" t="s">
        <v>222</v>
      </c>
      <c r="E45" s="39">
        <f>Payroll!L98</f>
        <v>37</v>
      </c>
      <c r="F45" s="39">
        <f>Payroll!M98</f>
        <v>37</v>
      </c>
      <c r="G45" s="39">
        <f>Payroll!N98</f>
        <v>37</v>
      </c>
      <c r="H45" s="39">
        <f>Payroll!O98</f>
        <v>37</v>
      </c>
      <c r="I45" s="39">
        <f>Payroll!P98</f>
        <v>37</v>
      </c>
      <c r="J45" s="39">
        <f>Payroll!Q98</f>
        <v>37</v>
      </c>
      <c r="K45" s="39">
        <f>Payroll!R98</f>
        <v>37</v>
      </c>
      <c r="L45" s="39">
        <f>Payroll!S98</f>
        <v>37</v>
      </c>
      <c r="M45" s="39">
        <f>Payroll!T98</f>
        <v>37</v>
      </c>
      <c r="N45" s="39">
        <f>Payroll!U98</f>
        <v>37</v>
      </c>
      <c r="O45" s="39">
        <f>Payroll!V98</f>
        <v>37</v>
      </c>
      <c r="P45" s="39">
        <f>Payroll!W98</f>
        <v>37</v>
      </c>
      <c r="Q45" s="36"/>
      <c r="R45" s="41"/>
      <c r="S45" s="355">
        <f t="shared" si="33"/>
        <v>444</v>
      </c>
      <c r="T45" s="41"/>
      <c r="U45" s="363">
        <f t="shared" si="2"/>
        <v>296</v>
      </c>
      <c r="V45" s="41"/>
      <c r="W45" s="363">
        <v>0</v>
      </c>
      <c r="X45" s="363">
        <f t="shared" si="34"/>
        <v>444</v>
      </c>
      <c r="Y45" s="41"/>
      <c r="Z45" s="363">
        <v>444</v>
      </c>
      <c r="AA45" s="363">
        <f t="shared" si="35"/>
        <v>0</v>
      </c>
      <c r="AB45" s="41"/>
      <c r="AC45" s="249">
        <v>0</v>
      </c>
      <c r="AD45" s="249">
        <f t="shared" si="36"/>
        <v>-444</v>
      </c>
    </row>
    <row r="46" spans="3:30" s="37" customFormat="1" ht="12" x14ac:dyDescent="0.2">
      <c r="C46" s="200">
        <v>6227</v>
      </c>
      <c r="D46" s="37" t="s">
        <v>221</v>
      </c>
      <c r="E46" s="39">
        <f>Payroll!L100</f>
        <v>204.18666666666667</v>
      </c>
      <c r="F46" s="39">
        <f>Payroll!M100</f>
        <v>204.18666666666667</v>
      </c>
      <c r="G46" s="39">
        <f>Payroll!N100</f>
        <v>204.18666666666667</v>
      </c>
      <c r="H46" s="39">
        <f>Payroll!O100</f>
        <v>204.18666666666667</v>
      </c>
      <c r="I46" s="39">
        <f>Payroll!P100</f>
        <v>204.18666666666667</v>
      </c>
      <c r="J46" s="39">
        <f>Payroll!Q100</f>
        <v>204.18666666666667</v>
      </c>
      <c r="K46" s="39">
        <f>Payroll!R100</f>
        <v>204.18666666666667</v>
      </c>
      <c r="L46" s="39">
        <f>Payroll!S100</f>
        <v>204.18666666666667</v>
      </c>
      <c r="M46" s="39">
        <f>Payroll!T100</f>
        <v>204.18666666666667</v>
      </c>
      <c r="N46" s="39">
        <f>Payroll!U100</f>
        <v>204.18666666666667</v>
      </c>
      <c r="O46" s="39">
        <f>Payroll!V100</f>
        <v>204.18666666666667</v>
      </c>
      <c r="P46" s="39">
        <f>Payroll!W100</f>
        <v>204.18666666666667</v>
      </c>
      <c r="Q46" s="36"/>
      <c r="R46" s="41"/>
      <c r="S46" s="355">
        <f t="shared" si="33"/>
        <v>2450.2400000000002</v>
      </c>
      <c r="T46" s="41"/>
      <c r="U46" s="363">
        <f t="shared" si="2"/>
        <v>1633.4933333333336</v>
      </c>
      <c r="V46" s="41"/>
      <c r="W46" s="363">
        <v>0</v>
      </c>
      <c r="X46" s="363">
        <f t="shared" si="34"/>
        <v>2450.2400000000002</v>
      </c>
      <c r="Y46" s="41"/>
      <c r="Z46" s="363">
        <v>548.08000000000004</v>
      </c>
      <c r="AA46" s="363">
        <f t="shared" si="35"/>
        <v>-1902.1600000000003</v>
      </c>
      <c r="AB46" s="41"/>
      <c r="AC46" s="249">
        <v>0</v>
      </c>
      <c r="AD46" s="249">
        <f t="shared" si="36"/>
        <v>-2450.2400000000002</v>
      </c>
    </row>
    <row r="47" spans="3:30" s="37" customFormat="1" ht="12" x14ac:dyDescent="0.2">
      <c r="C47" s="200">
        <v>6231</v>
      </c>
      <c r="D47" s="37" t="s">
        <v>205</v>
      </c>
      <c r="E47" s="39">
        <f>Payroll!L102</f>
        <v>1390.832596875</v>
      </c>
      <c r="F47" s="39">
        <f>Payroll!M102</f>
        <v>1390.832596875</v>
      </c>
      <c r="G47" s="39">
        <f>Payroll!N102</f>
        <v>1390.832596875</v>
      </c>
      <c r="H47" s="39">
        <f>Payroll!O102</f>
        <v>1390.832596875</v>
      </c>
      <c r="I47" s="39">
        <f>Payroll!P102</f>
        <v>1390.832596875</v>
      </c>
      <c r="J47" s="39">
        <f>Payroll!Q102</f>
        <v>1390.832596875</v>
      </c>
      <c r="K47" s="39">
        <f>Payroll!R102</f>
        <v>1390.832596875</v>
      </c>
      <c r="L47" s="39">
        <f>Payroll!S102</f>
        <v>1390.832596875</v>
      </c>
      <c r="M47" s="39">
        <f>Payroll!T102</f>
        <v>1390.832596875</v>
      </c>
      <c r="N47" s="39">
        <f>Payroll!U102</f>
        <v>1390.832596875</v>
      </c>
      <c r="O47" s="39">
        <f>Payroll!V102</f>
        <v>1390.832596875</v>
      </c>
      <c r="P47" s="39">
        <f>Payroll!W102</f>
        <v>1390.832596875</v>
      </c>
      <c r="Q47" s="36"/>
      <c r="R47" s="41"/>
      <c r="S47" s="355">
        <f>SUM(E47:Q47)</f>
        <v>16689.991162499999</v>
      </c>
      <c r="T47" s="41"/>
      <c r="U47" s="363">
        <f t="shared" si="2"/>
        <v>11126.660774999998</v>
      </c>
      <c r="V47" s="41"/>
      <c r="W47" s="363">
        <v>7246.9698468750003</v>
      </c>
      <c r="X47" s="363">
        <f t="shared" si="34"/>
        <v>9443.0213156249993</v>
      </c>
      <c r="Y47" s="41"/>
      <c r="Z47" s="363">
        <v>7856.3752875000018</v>
      </c>
      <c r="AA47" s="363">
        <f t="shared" si="35"/>
        <v>-8833.6158749999959</v>
      </c>
      <c r="AB47" s="41"/>
      <c r="AC47" s="249">
        <v>0</v>
      </c>
      <c r="AD47" s="249">
        <f t="shared" si="36"/>
        <v>-16689.991162499999</v>
      </c>
    </row>
    <row r="48" spans="3:30" s="37" customFormat="1" ht="12" x14ac:dyDescent="0.2">
      <c r="C48" s="200">
        <v>6234</v>
      </c>
      <c r="D48" s="37" t="s">
        <v>206</v>
      </c>
      <c r="E48" s="39">
        <f>Payroll!L103</f>
        <v>2398.04296875</v>
      </c>
      <c r="F48" s="39">
        <f>Payroll!M103</f>
        <v>2398.04296875</v>
      </c>
      <c r="G48" s="39">
        <f>Payroll!N103</f>
        <v>2398.04296875</v>
      </c>
      <c r="H48" s="39">
        <f>Payroll!O103</f>
        <v>2398.04296875</v>
      </c>
      <c r="I48" s="39">
        <f>Payroll!P103</f>
        <v>2398.04296875</v>
      </c>
      <c r="J48" s="39">
        <f>Payroll!Q103</f>
        <v>2398.04296875</v>
      </c>
      <c r="K48" s="39">
        <f>Payroll!R103</f>
        <v>2398.04296875</v>
      </c>
      <c r="L48" s="39">
        <f>Payroll!S103</f>
        <v>2398.04296875</v>
      </c>
      <c r="M48" s="39">
        <f>Payroll!T103</f>
        <v>2398.04296875</v>
      </c>
      <c r="N48" s="39">
        <f>Payroll!U103</f>
        <v>2398.04296875</v>
      </c>
      <c r="O48" s="39">
        <f>Payroll!V103</f>
        <v>2398.04296875</v>
      </c>
      <c r="P48" s="39">
        <f>Payroll!W103</f>
        <v>2398.04296875</v>
      </c>
      <c r="Q48" s="36"/>
      <c r="R48" s="41"/>
      <c r="S48" s="355">
        <f t="shared" si="33"/>
        <v>28776.515625</v>
      </c>
      <c r="T48" s="41"/>
      <c r="U48" s="363">
        <f t="shared" si="2"/>
        <v>19184.34375</v>
      </c>
      <c r="V48" s="41"/>
      <c r="W48" s="363">
        <v>12297.888224999997</v>
      </c>
      <c r="X48" s="363">
        <f t="shared" si="34"/>
        <v>16478.627400000005</v>
      </c>
      <c r="Y48" s="41"/>
      <c r="Z48" s="363">
        <v>12221.028225000002</v>
      </c>
      <c r="AA48" s="363">
        <f t="shared" si="35"/>
        <v>-16555.487399999998</v>
      </c>
      <c r="AB48" s="41"/>
      <c r="AC48" s="249">
        <v>0</v>
      </c>
      <c r="AD48" s="249">
        <f t="shared" si="36"/>
        <v>-28776.515625</v>
      </c>
    </row>
    <row r="49" spans="1:30" s="37" customFormat="1" ht="12" x14ac:dyDescent="0.2">
      <c r="C49" s="200">
        <v>6237</v>
      </c>
      <c r="D49" s="37" t="s">
        <v>223</v>
      </c>
      <c r="E49" s="39">
        <f>Payroll!L104</f>
        <v>585.61372499999993</v>
      </c>
      <c r="F49" s="39">
        <f>Payroll!M104</f>
        <v>585.61372499999993</v>
      </c>
      <c r="G49" s="39">
        <f>Payroll!N104</f>
        <v>585.61372499999993</v>
      </c>
      <c r="H49" s="39">
        <f>Payroll!O104</f>
        <v>585.61372499999993</v>
      </c>
      <c r="I49" s="39">
        <f>Payroll!P104</f>
        <v>585.61372499999993</v>
      </c>
      <c r="J49" s="39">
        <f>Payroll!Q104</f>
        <v>585.61372499999993</v>
      </c>
      <c r="K49" s="39">
        <f>Payroll!R104</f>
        <v>585.61372499999993</v>
      </c>
      <c r="L49" s="39">
        <f>Payroll!S104</f>
        <v>585.61372499999993</v>
      </c>
      <c r="M49" s="39">
        <f>Payroll!T104</f>
        <v>585.61372499999993</v>
      </c>
      <c r="N49" s="39">
        <f>Payroll!U104</f>
        <v>585.61372499999993</v>
      </c>
      <c r="O49" s="39">
        <f>Payroll!V104</f>
        <v>585.61372499999993</v>
      </c>
      <c r="P49" s="39">
        <f>Payroll!W104</f>
        <v>585.61372499999993</v>
      </c>
      <c r="Q49" s="36"/>
      <c r="R49" s="41"/>
      <c r="S49" s="355">
        <f t="shared" si="33"/>
        <v>7027.364700000001</v>
      </c>
      <c r="T49" s="41"/>
      <c r="U49" s="363">
        <f t="shared" si="2"/>
        <v>4684.9098000000004</v>
      </c>
      <c r="V49" s="41"/>
      <c r="W49" s="363">
        <v>631.36479726562493</v>
      </c>
      <c r="X49" s="363">
        <f t="shared" si="34"/>
        <v>6395.9999027343765</v>
      </c>
      <c r="Y49" s="41"/>
      <c r="Z49" s="363">
        <v>6023.2210537499996</v>
      </c>
      <c r="AA49" s="363">
        <f t="shared" si="35"/>
        <v>-1004.1436462500014</v>
      </c>
      <c r="AB49" s="41"/>
      <c r="AC49" s="249">
        <v>0</v>
      </c>
      <c r="AD49" s="249">
        <f t="shared" si="36"/>
        <v>-7027.364700000001</v>
      </c>
    </row>
    <row r="50" spans="1:30" s="37" customFormat="1" ht="12" x14ac:dyDescent="0.2">
      <c r="C50" s="200">
        <v>6241</v>
      </c>
      <c r="D50" s="37" t="s">
        <v>196</v>
      </c>
      <c r="E50" s="39">
        <f>Payroll!L106</f>
        <v>132.24309937500001</v>
      </c>
      <c r="F50" s="39">
        <f>Payroll!M106</f>
        <v>132.24309937500001</v>
      </c>
      <c r="G50" s="39">
        <f>Payroll!N106</f>
        <v>153.99309937500001</v>
      </c>
      <c r="H50" s="39">
        <f>Payroll!O106</f>
        <v>158.34309937500001</v>
      </c>
      <c r="I50" s="39">
        <f>Payroll!P106</f>
        <v>136.59309937500001</v>
      </c>
      <c r="J50" s="39">
        <f>Payroll!Q106</f>
        <v>136.59309937500001</v>
      </c>
      <c r="K50" s="39">
        <f>Payroll!R106</f>
        <v>136.59309937500001</v>
      </c>
      <c r="L50" s="39">
        <f>Payroll!S106</f>
        <v>153.99309937500001</v>
      </c>
      <c r="M50" s="39">
        <f>Payroll!T106</f>
        <v>153.99309937500001</v>
      </c>
      <c r="N50" s="39">
        <f>Payroll!U106</f>
        <v>132.24309937500001</v>
      </c>
      <c r="O50" s="39">
        <f>Payroll!V106</f>
        <v>132.24309937500001</v>
      </c>
      <c r="P50" s="39">
        <f>Payroll!W106</f>
        <v>132.24309937500001</v>
      </c>
      <c r="Q50" s="36"/>
      <c r="R50" s="41"/>
      <c r="S50" s="355">
        <f t="shared" si="33"/>
        <v>1691.3171924999999</v>
      </c>
      <c r="T50" s="41"/>
      <c r="U50" s="363">
        <f t="shared" si="2"/>
        <v>1140.5947950000002</v>
      </c>
      <c r="V50" s="41"/>
      <c r="W50" s="363">
        <v>732.55614937500002</v>
      </c>
      <c r="X50" s="363">
        <f t="shared" si="34"/>
        <v>958.7610431249999</v>
      </c>
      <c r="Y50" s="41"/>
      <c r="Z50" s="363">
        <v>790.49961750000023</v>
      </c>
      <c r="AA50" s="363">
        <f t="shared" si="35"/>
        <v>-900.81757499999969</v>
      </c>
      <c r="AB50" s="41"/>
      <c r="AC50" s="249">
        <v>0</v>
      </c>
      <c r="AD50" s="249">
        <f t="shared" si="36"/>
        <v>-1691.3171924999999</v>
      </c>
    </row>
    <row r="51" spans="1:30" s="37" customFormat="1" ht="12" x14ac:dyDescent="0.2">
      <c r="C51" s="200">
        <v>6244</v>
      </c>
      <c r="D51" s="37" t="s">
        <v>197</v>
      </c>
      <c r="E51" s="39">
        <f>Payroll!L107</f>
        <v>118.87734375000001</v>
      </c>
      <c r="F51" s="39">
        <f>Payroll!M107</f>
        <v>118.87734375000001</v>
      </c>
      <c r="G51" s="39">
        <f>Payroll!N107</f>
        <v>132.34784375000001</v>
      </c>
      <c r="H51" s="39">
        <f>Payroll!O107</f>
        <v>122.50234375000001</v>
      </c>
      <c r="I51" s="39">
        <f>Payroll!P107</f>
        <v>135.97284375000001</v>
      </c>
      <c r="J51" s="39">
        <f>Payroll!Q107</f>
        <v>122.50234375000001</v>
      </c>
      <c r="K51" s="39">
        <f>Payroll!R107</f>
        <v>135.97284375000001</v>
      </c>
      <c r="L51" s="39">
        <f>Payroll!S107</f>
        <v>118.87734375000001</v>
      </c>
      <c r="M51" s="39">
        <f>Payroll!T107</f>
        <v>132.34784375000001</v>
      </c>
      <c r="N51" s="39">
        <f>Payroll!U107</f>
        <v>132.34784375000001</v>
      </c>
      <c r="O51" s="39">
        <f>Payroll!V107</f>
        <v>118.87734375000001</v>
      </c>
      <c r="P51" s="39">
        <f>Payroll!W107</f>
        <v>151.50234374999999</v>
      </c>
      <c r="Q51" s="36"/>
      <c r="R51" s="41"/>
      <c r="S51" s="355">
        <f t="shared" si="33"/>
        <v>1541.005625</v>
      </c>
      <c r="T51" s="41"/>
      <c r="U51" s="363">
        <f t="shared" si="2"/>
        <v>1005.9302500000001</v>
      </c>
      <c r="V51" s="41"/>
      <c r="W51" s="363">
        <v>1267.182405</v>
      </c>
      <c r="X51" s="363">
        <f t="shared" si="34"/>
        <v>273.82321999999999</v>
      </c>
      <c r="Y51" s="41"/>
      <c r="Z51" s="363">
        <v>1205.4994049999998</v>
      </c>
      <c r="AA51" s="363">
        <f t="shared" si="35"/>
        <v>-335.50622000000021</v>
      </c>
      <c r="AB51" s="41"/>
      <c r="AC51" s="249">
        <v>0</v>
      </c>
      <c r="AD51" s="249">
        <f t="shared" si="36"/>
        <v>-1541.005625</v>
      </c>
    </row>
    <row r="52" spans="1:30" s="37" customFormat="1" ht="12" x14ac:dyDescent="0.2">
      <c r="C52" s="200">
        <v>6247</v>
      </c>
      <c r="D52" s="37" t="s">
        <v>224</v>
      </c>
      <c r="E52" s="39">
        <f>Payroll!L108</f>
        <v>103.43463833333334</v>
      </c>
      <c r="F52" s="39">
        <f>Payroll!M108</f>
        <v>103.43463833333334</v>
      </c>
      <c r="G52" s="39">
        <f>Payroll!N108</f>
        <v>114.30963833333334</v>
      </c>
      <c r="H52" s="39">
        <f>Payroll!O108</f>
        <v>116.48463833333334</v>
      </c>
      <c r="I52" s="39">
        <f>Payroll!P108</f>
        <v>105.60963833333334</v>
      </c>
      <c r="J52" s="39">
        <f>Payroll!Q108</f>
        <v>105.60963833333334</v>
      </c>
      <c r="K52" s="39">
        <f>Payroll!R108</f>
        <v>105.60963833333334</v>
      </c>
      <c r="L52" s="39">
        <f>Payroll!S108</f>
        <v>114.30963833333334</v>
      </c>
      <c r="M52" s="39">
        <f>Payroll!T108</f>
        <v>114.30963833333334</v>
      </c>
      <c r="N52" s="39">
        <f>Payroll!U108</f>
        <v>103.43463833333334</v>
      </c>
      <c r="O52" s="39">
        <f>Payroll!V108</f>
        <v>103.43463833333334</v>
      </c>
      <c r="P52" s="39">
        <f>Payroll!W108</f>
        <v>103.43463833333334</v>
      </c>
      <c r="Q52" s="36"/>
      <c r="R52" s="41"/>
      <c r="S52" s="355">
        <f>SUM(E52:Q52)</f>
        <v>1293.4156600000003</v>
      </c>
      <c r="T52" s="41"/>
      <c r="U52" s="363">
        <f t="shared" si="2"/>
        <v>868.80210666666676</v>
      </c>
      <c r="V52" s="41"/>
      <c r="W52" s="363">
        <v>60.031406953124993</v>
      </c>
      <c r="X52" s="363">
        <f t="shared" si="34"/>
        <v>1233.3842530468753</v>
      </c>
      <c r="Y52" s="41"/>
      <c r="Z52" s="363">
        <v>744.37970675000008</v>
      </c>
      <c r="AA52" s="363">
        <f t="shared" si="35"/>
        <v>-549.03595325000026</v>
      </c>
      <c r="AB52" s="41"/>
      <c r="AC52" s="249">
        <v>0</v>
      </c>
      <c r="AD52" s="249">
        <f t="shared" si="36"/>
        <v>-1293.4156600000003</v>
      </c>
    </row>
    <row r="53" spans="1:30" s="37" customFormat="1" ht="12" x14ac:dyDescent="0.2">
      <c r="C53" s="200">
        <v>6261</v>
      </c>
      <c r="D53" s="37" t="s">
        <v>207</v>
      </c>
      <c r="E53" s="39">
        <f>Payroll!L110</f>
        <v>78</v>
      </c>
      <c r="F53" s="39">
        <f>Payroll!M110</f>
        <v>78</v>
      </c>
      <c r="G53" s="39">
        <f>Payroll!N110</f>
        <v>78</v>
      </c>
      <c r="H53" s="39">
        <f>Payroll!O110</f>
        <v>78</v>
      </c>
      <c r="I53" s="39">
        <f>Payroll!P110</f>
        <v>78</v>
      </c>
      <c r="J53" s="39">
        <f>Payroll!Q110</f>
        <v>78</v>
      </c>
      <c r="K53" s="39">
        <f>Payroll!R110</f>
        <v>78</v>
      </c>
      <c r="L53" s="39">
        <f>Payroll!S110</f>
        <v>78</v>
      </c>
      <c r="M53" s="39">
        <f>Payroll!T110</f>
        <v>78</v>
      </c>
      <c r="N53" s="39">
        <f>Payroll!U110</f>
        <v>78</v>
      </c>
      <c r="O53" s="39">
        <f>Payroll!V110</f>
        <v>78</v>
      </c>
      <c r="P53" s="39">
        <f>Payroll!W110</f>
        <v>78</v>
      </c>
      <c r="Q53" s="36"/>
      <c r="R53" s="41"/>
      <c r="S53" s="355">
        <f t="shared" si="33"/>
        <v>936</v>
      </c>
      <c r="T53" s="41"/>
      <c r="U53" s="363">
        <f t="shared" si="2"/>
        <v>624</v>
      </c>
      <c r="V53" s="41"/>
      <c r="W53" s="363">
        <v>936</v>
      </c>
      <c r="X53" s="363">
        <f t="shared" si="34"/>
        <v>0</v>
      </c>
      <c r="Y53" s="41"/>
      <c r="Z53" s="363">
        <v>936</v>
      </c>
      <c r="AA53" s="363">
        <f t="shared" si="35"/>
        <v>0</v>
      </c>
      <c r="AB53" s="41"/>
      <c r="AC53" s="249">
        <v>0</v>
      </c>
      <c r="AD53" s="249">
        <f t="shared" si="36"/>
        <v>-936</v>
      </c>
    </row>
    <row r="54" spans="1:30" s="37" customFormat="1" ht="12" x14ac:dyDescent="0.2">
      <c r="C54" s="200">
        <v>6264</v>
      </c>
      <c r="D54" s="37" t="s">
        <v>208</v>
      </c>
      <c r="E54" s="39">
        <f>Payroll!L111</f>
        <v>39</v>
      </c>
      <c r="F54" s="39">
        <f>Payroll!M111</f>
        <v>39</v>
      </c>
      <c r="G54" s="39">
        <f>Payroll!N111</f>
        <v>39</v>
      </c>
      <c r="H54" s="39">
        <f>Payroll!O111</f>
        <v>39</v>
      </c>
      <c r="I54" s="39">
        <f>Payroll!P111</f>
        <v>39</v>
      </c>
      <c r="J54" s="39">
        <f>Payroll!Q111</f>
        <v>39</v>
      </c>
      <c r="K54" s="39">
        <f>Payroll!R111</f>
        <v>39</v>
      </c>
      <c r="L54" s="39">
        <f>Payroll!S111</f>
        <v>39</v>
      </c>
      <c r="M54" s="39">
        <f>Payroll!T111</f>
        <v>39</v>
      </c>
      <c r="N54" s="39">
        <f>Payroll!U111</f>
        <v>39</v>
      </c>
      <c r="O54" s="39">
        <f>Payroll!V111</f>
        <v>39</v>
      </c>
      <c r="P54" s="39">
        <f>Payroll!W111</f>
        <v>39</v>
      </c>
      <c r="Q54" s="36"/>
      <c r="R54" s="41"/>
      <c r="S54" s="355">
        <f t="shared" si="33"/>
        <v>468</v>
      </c>
      <c r="T54" s="41"/>
      <c r="U54" s="363">
        <f t="shared" si="2"/>
        <v>312</v>
      </c>
      <c r="V54" s="41"/>
      <c r="W54" s="363">
        <v>936</v>
      </c>
      <c r="X54" s="363">
        <f t="shared" si="34"/>
        <v>-468</v>
      </c>
      <c r="Y54" s="41"/>
      <c r="Z54" s="363">
        <v>936</v>
      </c>
      <c r="AA54" s="363">
        <f t="shared" si="35"/>
        <v>468</v>
      </c>
      <c r="AB54" s="41"/>
      <c r="AC54" s="249">
        <v>0</v>
      </c>
      <c r="AD54" s="249">
        <f t="shared" si="36"/>
        <v>-468</v>
      </c>
    </row>
    <row r="55" spans="1:30" s="37" customFormat="1" ht="12" x14ac:dyDescent="0.2">
      <c r="C55" s="200">
        <v>6267</v>
      </c>
      <c r="D55" s="37" t="s">
        <v>225</v>
      </c>
      <c r="E55" s="39">
        <f>Payroll!L112</f>
        <v>88.399999999999991</v>
      </c>
      <c r="F55" s="39">
        <f>Payroll!M112</f>
        <v>88.399999999999991</v>
      </c>
      <c r="G55" s="39">
        <f>Payroll!N112</f>
        <v>88.399999999999991</v>
      </c>
      <c r="H55" s="39">
        <f>Payroll!O112</f>
        <v>88.399999999999991</v>
      </c>
      <c r="I55" s="39">
        <f>Payroll!P112</f>
        <v>88.399999999999991</v>
      </c>
      <c r="J55" s="39">
        <f>Payroll!Q112</f>
        <v>88.399999999999991</v>
      </c>
      <c r="K55" s="39">
        <f>Payroll!R112</f>
        <v>88.399999999999991</v>
      </c>
      <c r="L55" s="39">
        <f>Payroll!S112</f>
        <v>88.399999999999991</v>
      </c>
      <c r="M55" s="39">
        <f>Payroll!T112</f>
        <v>88.399999999999991</v>
      </c>
      <c r="N55" s="39">
        <f>Payroll!U112</f>
        <v>88.399999999999991</v>
      </c>
      <c r="O55" s="39">
        <f>Payroll!V112</f>
        <v>88.399999999999991</v>
      </c>
      <c r="P55" s="39">
        <f>Payroll!W112</f>
        <v>88.399999999999991</v>
      </c>
      <c r="Q55" s="36"/>
      <c r="R55" s="41"/>
      <c r="S55" s="355">
        <f t="shared" si="33"/>
        <v>1060.8</v>
      </c>
      <c r="T55" s="41"/>
      <c r="U55" s="363">
        <f t="shared" si="2"/>
        <v>707.19999999999993</v>
      </c>
      <c r="V55" s="41"/>
      <c r="W55" s="363">
        <v>124.20291093750001</v>
      </c>
      <c r="X55" s="363">
        <f t="shared" si="34"/>
        <v>936.59708906249989</v>
      </c>
      <c r="Y55" s="41"/>
      <c r="Z55" s="363">
        <v>1201.2</v>
      </c>
      <c r="AA55" s="363">
        <f t="shared" si="35"/>
        <v>140.40000000000009</v>
      </c>
      <c r="AB55" s="41"/>
      <c r="AC55" s="249">
        <v>0</v>
      </c>
      <c r="AD55" s="249">
        <f t="shared" si="36"/>
        <v>-1060.8</v>
      </c>
    </row>
    <row r="56" spans="1:30" s="37" customFormat="1" ht="12" x14ac:dyDescent="0.2">
      <c r="C56" s="200">
        <v>6271</v>
      </c>
      <c r="D56" s="37" t="s">
        <v>209</v>
      </c>
      <c r="E56" s="39">
        <f>Payroll!L114</f>
        <v>63.181389375000002</v>
      </c>
      <c r="F56" s="39">
        <f>Payroll!M114</f>
        <v>63.181389375000002</v>
      </c>
      <c r="G56" s="39">
        <f>Payroll!N114</f>
        <v>63.181389375000002</v>
      </c>
      <c r="H56" s="39">
        <f>Payroll!O114</f>
        <v>63.181389375000002</v>
      </c>
      <c r="I56" s="39">
        <f>Payroll!P114</f>
        <v>63.181389375000002</v>
      </c>
      <c r="J56" s="39">
        <f>Payroll!Q114</f>
        <v>63.181389375000002</v>
      </c>
      <c r="K56" s="39">
        <f>Payroll!R114</f>
        <v>63.181389375000002</v>
      </c>
      <c r="L56" s="39">
        <f>Payroll!S114</f>
        <v>63.181389375000002</v>
      </c>
      <c r="M56" s="39">
        <f>Payroll!T114</f>
        <v>63.181389375000002</v>
      </c>
      <c r="N56" s="39">
        <f>Payroll!U114</f>
        <v>63.181389375000002</v>
      </c>
      <c r="O56" s="39">
        <f>Payroll!V114</f>
        <v>63.181389375000002</v>
      </c>
      <c r="P56" s="39">
        <f>Payroll!W114</f>
        <v>63.181389375000002</v>
      </c>
      <c r="Q56" s="36"/>
      <c r="R56" s="41"/>
      <c r="S56" s="355">
        <f t="shared" si="33"/>
        <v>758.17667249999988</v>
      </c>
      <c r="T56" s="41"/>
      <c r="U56" s="363">
        <f t="shared" si="2"/>
        <v>505.45111499999996</v>
      </c>
      <c r="V56" s="41"/>
      <c r="W56" s="363">
        <v>328.38723937499998</v>
      </c>
      <c r="X56" s="363">
        <f t="shared" si="34"/>
        <v>429.7894331249999</v>
      </c>
      <c r="Y56" s="41"/>
      <c r="Z56" s="363">
        <v>354.36189750000011</v>
      </c>
      <c r="AA56" s="363">
        <f t="shared" si="35"/>
        <v>-403.81477499999977</v>
      </c>
      <c r="AB56" s="41"/>
      <c r="AC56" s="249">
        <v>0</v>
      </c>
      <c r="AD56" s="249">
        <f t="shared" si="36"/>
        <v>-758.17667249999988</v>
      </c>
    </row>
    <row r="57" spans="1:30" s="37" customFormat="1" ht="12" x14ac:dyDescent="0.2">
      <c r="C57" s="200">
        <v>6274</v>
      </c>
      <c r="D57" s="37" t="s">
        <v>210</v>
      </c>
      <c r="E57" s="39">
        <f>Payroll!L115</f>
        <v>57.566302083333333</v>
      </c>
      <c r="F57" s="39">
        <f>Payroll!M115</f>
        <v>57.566302083333333</v>
      </c>
      <c r="G57" s="39">
        <f>Payroll!N115</f>
        <v>57.566302083333333</v>
      </c>
      <c r="H57" s="39">
        <f>Payroll!O115</f>
        <v>57.566302083333333</v>
      </c>
      <c r="I57" s="39">
        <f>Payroll!P115</f>
        <v>57.566302083333333</v>
      </c>
      <c r="J57" s="39">
        <f>Payroll!Q115</f>
        <v>57.566302083333333</v>
      </c>
      <c r="K57" s="39">
        <f>Payroll!R115</f>
        <v>57.566302083333333</v>
      </c>
      <c r="L57" s="39">
        <f>Payroll!S115</f>
        <v>57.566302083333333</v>
      </c>
      <c r="M57" s="39">
        <f>Payroll!T115</f>
        <v>57.566302083333333</v>
      </c>
      <c r="N57" s="39">
        <f>Payroll!U115</f>
        <v>57.566302083333333</v>
      </c>
      <c r="O57" s="39">
        <f>Payroll!V115</f>
        <v>57.566302083333333</v>
      </c>
      <c r="P57" s="39">
        <f>Payroll!W115</f>
        <v>57.566302083333333</v>
      </c>
      <c r="Q57" s="36"/>
      <c r="R57" s="41"/>
      <c r="S57" s="355">
        <f>SUM(E57:Q57)</f>
        <v>690.79562499999986</v>
      </c>
      <c r="T57" s="41"/>
      <c r="U57" s="363">
        <f t="shared" si="2"/>
        <v>460.53041666666661</v>
      </c>
      <c r="V57" s="41"/>
      <c r="W57" s="363">
        <v>568.04728499999999</v>
      </c>
      <c r="X57" s="363">
        <f t="shared" si="34"/>
        <v>122.74833999999987</v>
      </c>
      <c r="Y57" s="41"/>
      <c r="Z57" s="363">
        <v>540.39628499999992</v>
      </c>
      <c r="AA57" s="363">
        <f t="shared" si="35"/>
        <v>-150.39933999999994</v>
      </c>
      <c r="AB57" s="41"/>
      <c r="AC57" s="249">
        <v>0</v>
      </c>
      <c r="AD57" s="249">
        <f t="shared" si="36"/>
        <v>-690.79562499999986</v>
      </c>
    </row>
    <row r="58" spans="1:30" s="37" customFormat="1" ht="12" x14ac:dyDescent="0.2">
      <c r="C58" s="200">
        <v>6277</v>
      </c>
      <c r="D58" s="37" t="s">
        <v>226</v>
      </c>
      <c r="E58" s="39">
        <f>Payroll!L116</f>
        <v>48.317251666666657</v>
      </c>
      <c r="F58" s="39">
        <f>Payroll!M116</f>
        <v>48.317251666666657</v>
      </c>
      <c r="G58" s="39">
        <f>Payroll!N116</f>
        <v>48.317251666666657</v>
      </c>
      <c r="H58" s="39">
        <f>Payroll!O116</f>
        <v>48.317251666666657</v>
      </c>
      <c r="I58" s="39">
        <f>Payroll!P116</f>
        <v>48.317251666666657</v>
      </c>
      <c r="J58" s="39">
        <f>Payroll!Q116</f>
        <v>48.317251666666657</v>
      </c>
      <c r="K58" s="39">
        <f>Payroll!R116</f>
        <v>48.317251666666657</v>
      </c>
      <c r="L58" s="39">
        <f>Payroll!S116</f>
        <v>48.317251666666657</v>
      </c>
      <c r="M58" s="39">
        <f>Payroll!T116</f>
        <v>48.317251666666657</v>
      </c>
      <c r="N58" s="39">
        <f>Payroll!U116</f>
        <v>48.317251666666657</v>
      </c>
      <c r="O58" s="39">
        <f>Payroll!V116</f>
        <v>48.317251666666657</v>
      </c>
      <c r="P58" s="39">
        <f>Payroll!W116</f>
        <v>48.317251666666657</v>
      </c>
      <c r="Q58" s="36"/>
      <c r="R58" s="41"/>
      <c r="S58" s="355">
        <f t="shared" si="33"/>
        <v>579.80701999999985</v>
      </c>
      <c r="T58" s="41"/>
      <c r="U58" s="363">
        <f t="shared" si="2"/>
        <v>386.53801333333325</v>
      </c>
      <c r="V58" s="41"/>
      <c r="W58" s="363">
        <v>26.910630703124998</v>
      </c>
      <c r="X58" s="363">
        <f t="shared" si="34"/>
        <v>552.89638929687487</v>
      </c>
      <c r="Y58" s="41"/>
      <c r="Z58" s="363">
        <v>333.68745474999997</v>
      </c>
      <c r="AA58" s="363">
        <f t="shared" si="35"/>
        <v>-246.11956524999988</v>
      </c>
      <c r="AB58" s="41"/>
      <c r="AC58" s="249">
        <v>0</v>
      </c>
      <c r="AD58" s="249">
        <f t="shared" si="36"/>
        <v>-579.80701999999985</v>
      </c>
    </row>
    <row r="59" spans="1:30" s="37" customFormat="1" ht="12" x14ac:dyDescent="0.2">
      <c r="C59" s="200">
        <v>6281</v>
      </c>
      <c r="D59" s="37" t="s">
        <v>193</v>
      </c>
      <c r="E59" s="39">
        <f>Payroll!L118</f>
        <v>810</v>
      </c>
      <c r="F59" s="39">
        <f>Payroll!M118</f>
        <v>810</v>
      </c>
      <c r="G59" s="39">
        <f>Payroll!N118</f>
        <v>810</v>
      </c>
      <c r="H59" s="39">
        <f>Payroll!O118</f>
        <v>810</v>
      </c>
      <c r="I59" s="39">
        <f>Payroll!P118</f>
        <v>810</v>
      </c>
      <c r="J59" s="39">
        <f>Payroll!Q118</f>
        <v>810</v>
      </c>
      <c r="K59" s="39">
        <f>Payroll!R118</f>
        <v>810</v>
      </c>
      <c r="L59" s="39">
        <f>Payroll!S118</f>
        <v>810</v>
      </c>
      <c r="M59" s="39">
        <f>Payroll!T118</f>
        <v>810</v>
      </c>
      <c r="N59" s="39">
        <f>Payroll!U118</f>
        <v>810</v>
      </c>
      <c r="O59" s="39">
        <f>Payroll!V118</f>
        <v>810</v>
      </c>
      <c r="P59" s="39">
        <f>Payroll!W118</f>
        <v>810</v>
      </c>
      <c r="Q59" s="36"/>
      <c r="R59" s="41"/>
      <c r="S59" s="355">
        <f t="shared" si="33"/>
        <v>9720</v>
      </c>
      <c r="T59" s="41"/>
      <c r="U59" s="363">
        <f t="shared" si="2"/>
        <v>6480</v>
      </c>
      <c r="V59" s="41"/>
      <c r="W59" s="363">
        <v>4860</v>
      </c>
      <c r="X59" s="363">
        <f t="shared" si="34"/>
        <v>4860</v>
      </c>
      <c r="Y59" s="41"/>
      <c r="Z59" s="363">
        <v>4860</v>
      </c>
      <c r="AA59" s="363">
        <f t="shared" si="35"/>
        <v>-4860</v>
      </c>
      <c r="AB59" s="41"/>
      <c r="AC59" s="249">
        <v>0</v>
      </c>
      <c r="AD59" s="249">
        <f t="shared" si="36"/>
        <v>-9720</v>
      </c>
    </row>
    <row r="60" spans="1:30" s="37" customFormat="1" ht="12" x14ac:dyDescent="0.2">
      <c r="C60" s="200">
        <v>6284</v>
      </c>
      <c r="D60" s="37" t="s">
        <v>194</v>
      </c>
      <c r="E60" s="39">
        <f>Payroll!L119</f>
        <v>405</v>
      </c>
      <c r="F60" s="39">
        <f>Payroll!M119</f>
        <v>405</v>
      </c>
      <c r="G60" s="39">
        <f>Payroll!N119</f>
        <v>405</v>
      </c>
      <c r="H60" s="39">
        <f>Payroll!O119</f>
        <v>405</v>
      </c>
      <c r="I60" s="39">
        <f>Payroll!P119</f>
        <v>405</v>
      </c>
      <c r="J60" s="39">
        <f>Payroll!Q119</f>
        <v>405</v>
      </c>
      <c r="K60" s="39">
        <f>Payroll!R119</f>
        <v>405</v>
      </c>
      <c r="L60" s="39">
        <f>Payroll!S119</f>
        <v>405</v>
      </c>
      <c r="M60" s="39">
        <f>Payroll!T119</f>
        <v>405</v>
      </c>
      <c r="N60" s="39">
        <f>Payroll!U119</f>
        <v>405</v>
      </c>
      <c r="O60" s="39">
        <f>Payroll!V119</f>
        <v>405</v>
      </c>
      <c r="P60" s="39">
        <f>Payroll!W119</f>
        <v>405</v>
      </c>
      <c r="Q60" s="36"/>
      <c r="R60" s="41"/>
      <c r="S60" s="355">
        <f t="shared" si="33"/>
        <v>4860</v>
      </c>
      <c r="T60" s="41"/>
      <c r="U60" s="363">
        <f t="shared" si="2"/>
        <v>3240</v>
      </c>
      <c r="V60" s="41"/>
      <c r="W60" s="363">
        <v>4860</v>
      </c>
      <c r="X60" s="363">
        <f t="shared" si="34"/>
        <v>0</v>
      </c>
      <c r="Y60" s="41"/>
      <c r="Z60" s="363">
        <v>7260</v>
      </c>
      <c r="AA60" s="363">
        <f t="shared" si="35"/>
        <v>2400</v>
      </c>
      <c r="AB60" s="41"/>
      <c r="AC60" s="249">
        <v>0</v>
      </c>
      <c r="AD60" s="249">
        <f t="shared" si="36"/>
        <v>-4860</v>
      </c>
    </row>
    <row r="61" spans="1:30" s="37" customFormat="1" ht="12" x14ac:dyDescent="0.2">
      <c r="C61" s="200">
        <v>6287</v>
      </c>
      <c r="D61" s="37" t="s">
        <v>227</v>
      </c>
      <c r="E61" s="39">
        <f>Payroll!L120</f>
        <v>405</v>
      </c>
      <c r="F61" s="39">
        <f>Payroll!M120</f>
        <v>405</v>
      </c>
      <c r="G61" s="39">
        <f>Payroll!N120</f>
        <v>405</v>
      </c>
      <c r="H61" s="39">
        <f>Payroll!O120</f>
        <v>405</v>
      </c>
      <c r="I61" s="39">
        <f>Payroll!P120</f>
        <v>405</v>
      </c>
      <c r="J61" s="39">
        <f>Payroll!Q120</f>
        <v>405</v>
      </c>
      <c r="K61" s="39">
        <f>Payroll!R120</f>
        <v>405</v>
      </c>
      <c r="L61" s="39">
        <f>Payroll!S120</f>
        <v>405</v>
      </c>
      <c r="M61" s="39">
        <f>Payroll!T120</f>
        <v>405</v>
      </c>
      <c r="N61" s="39">
        <f>Payroll!U120</f>
        <v>405</v>
      </c>
      <c r="O61" s="39">
        <f>Payroll!V120</f>
        <v>405</v>
      </c>
      <c r="P61" s="39">
        <f>Payroll!W120</f>
        <v>405</v>
      </c>
      <c r="Q61" s="36"/>
      <c r="R61" s="41"/>
      <c r="S61" s="355">
        <f t="shared" si="33"/>
        <v>4860</v>
      </c>
      <c r="T61" s="41"/>
      <c r="U61" s="363">
        <f t="shared" si="2"/>
        <v>3240</v>
      </c>
      <c r="V61" s="41"/>
      <c r="W61" s="363">
        <v>0</v>
      </c>
      <c r="X61" s="363">
        <f t="shared" si="34"/>
        <v>4860</v>
      </c>
      <c r="Y61" s="41"/>
      <c r="Z61" s="363">
        <v>4860</v>
      </c>
      <c r="AA61" s="363">
        <f t="shared" si="35"/>
        <v>0</v>
      </c>
      <c r="AB61" s="41"/>
      <c r="AC61" s="249">
        <v>0</v>
      </c>
      <c r="AD61" s="249">
        <f t="shared" si="36"/>
        <v>-4860</v>
      </c>
    </row>
    <row r="62" spans="1:30" s="37" customFormat="1" ht="12" x14ac:dyDescent="0.2">
      <c r="C62" s="38"/>
      <c r="E62" s="50">
        <f t="shared" ref="E62:O62" si="37">SUBTOTAL(9,E43:E61)</f>
        <v>7075.6959818750011</v>
      </c>
      <c r="F62" s="50">
        <f t="shared" si="37"/>
        <v>7075.6959818750011</v>
      </c>
      <c r="G62" s="50">
        <f t="shared" si="37"/>
        <v>7121.7914818750005</v>
      </c>
      <c r="H62" s="50">
        <f t="shared" si="37"/>
        <v>7118.4709818750007</v>
      </c>
      <c r="I62" s="50">
        <f t="shared" si="37"/>
        <v>7099.3164818750001</v>
      </c>
      <c r="J62" s="50">
        <f t="shared" si="37"/>
        <v>7085.8459818750007</v>
      </c>
      <c r="K62" s="50">
        <f t="shared" si="37"/>
        <v>7099.3164818750001</v>
      </c>
      <c r="L62" s="50">
        <f t="shared" si="37"/>
        <v>7108.3209818750011</v>
      </c>
      <c r="M62" s="50">
        <f t="shared" si="37"/>
        <v>7121.7914818750005</v>
      </c>
      <c r="N62" s="50">
        <f t="shared" si="37"/>
        <v>7089.1664818750005</v>
      </c>
      <c r="O62" s="50">
        <f t="shared" si="37"/>
        <v>7075.6959818750011</v>
      </c>
      <c r="P62" s="50">
        <f t="shared" ref="P62" si="38">SUBTOTAL(9,P43:P61)</f>
        <v>7108.3209818750011</v>
      </c>
      <c r="Q62" s="51"/>
      <c r="R62" s="41"/>
      <c r="S62" s="356">
        <f>SUBTOTAL(9,S43:S61)</f>
        <v>85179.429282499987</v>
      </c>
      <c r="T62" s="41"/>
      <c r="U62" s="364">
        <f t="shared" si="2"/>
        <v>56784.454355000009</v>
      </c>
      <c r="V62" s="41"/>
      <c r="W62" s="364">
        <v>35763.540896484366</v>
      </c>
      <c r="X62" s="364">
        <f>SUBTOTAL(9,X43:X61)</f>
        <v>49415.888386015635</v>
      </c>
      <c r="Y62" s="41"/>
      <c r="Z62" s="364">
        <v>52002.728932750004</v>
      </c>
      <c r="AA62" s="364">
        <f>SUBTOTAL(9,AA43:AA61)</f>
        <v>-33176.700349749997</v>
      </c>
      <c r="AB62" s="41"/>
      <c r="AC62" s="251">
        <f>SUBTOTAL(9,AC43:AC61)</f>
        <v>0</v>
      </c>
      <c r="AD62" s="251">
        <f>SUBTOTAL(9,AD43:AD61)</f>
        <v>-85179.429282499987</v>
      </c>
    </row>
    <row r="63" spans="1:30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/>
      <c r="R63" s="41"/>
      <c r="S63" s="355"/>
      <c r="T63" s="41"/>
      <c r="U63" s="363">
        <f t="shared" si="2"/>
        <v>0</v>
      </c>
      <c r="V63" s="41"/>
      <c r="W63" s="363"/>
      <c r="X63" s="363"/>
      <c r="Y63" s="41"/>
      <c r="Z63" s="363"/>
      <c r="AA63" s="363"/>
      <c r="AB63" s="41"/>
      <c r="AC63" s="249"/>
      <c r="AD63" s="249"/>
    </row>
    <row r="64" spans="1:30" s="37" customFormat="1" ht="12" x14ac:dyDescent="0.2">
      <c r="A64" s="38"/>
      <c r="C64" s="200">
        <v>6300</v>
      </c>
      <c r="D64" s="37" t="s">
        <v>9</v>
      </c>
      <c r="E64" s="39">
        <f>'Exp Details'!K12</f>
        <v>192.5</v>
      </c>
      <c r="F64" s="39">
        <f>'Exp Details'!L12</f>
        <v>192.5</v>
      </c>
      <c r="G64" s="39">
        <f>'Exp Details'!M12</f>
        <v>192.5</v>
      </c>
      <c r="H64" s="39">
        <f>'Exp Details'!N12</f>
        <v>192.5</v>
      </c>
      <c r="I64" s="39">
        <f>'Exp Details'!O12</f>
        <v>192.5</v>
      </c>
      <c r="J64" s="39">
        <f>'Exp Details'!P12</f>
        <v>192.5</v>
      </c>
      <c r="K64" s="39">
        <f>'Exp Details'!Q12</f>
        <v>192.5</v>
      </c>
      <c r="L64" s="39">
        <f>'Exp Details'!R12</f>
        <v>192.5</v>
      </c>
      <c r="M64" s="39">
        <f>'Exp Details'!S12</f>
        <v>192.5</v>
      </c>
      <c r="N64" s="39">
        <f>'Exp Details'!T12</f>
        <v>192.5</v>
      </c>
      <c r="O64" s="39">
        <f>'Exp Details'!U12</f>
        <v>192.5</v>
      </c>
      <c r="P64" s="39">
        <f>'Exp Details'!V12</f>
        <v>192.5</v>
      </c>
      <c r="Q64" s="36"/>
      <c r="R64" s="41"/>
      <c r="S64" s="355">
        <f t="shared" ref="S64:S73" si="39">SUM(E64:Q64)</f>
        <v>2310</v>
      </c>
      <c r="T64" s="41"/>
      <c r="U64" s="363">
        <f t="shared" si="2"/>
        <v>1540</v>
      </c>
      <c r="V64" s="41"/>
      <c r="W64" s="363">
        <v>1500</v>
      </c>
      <c r="X64" s="363">
        <f t="shared" ref="X64:X73" si="40">S64-W64</f>
        <v>810</v>
      </c>
      <c r="Y64" s="41"/>
      <c r="Z64" s="363">
        <v>2250</v>
      </c>
      <c r="AA64" s="363">
        <f>Z64-S64</f>
        <v>-60</v>
      </c>
      <c r="AB64" s="41"/>
      <c r="AC64" s="249">
        <v>0</v>
      </c>
      <c r="AD64" s="249">
        <f>AC64-S64</f>
        <v>-2310</v>
      </c>
    </row>
    <row r="65" spans="1:30" s="37" customFormat="1" ht="12" x14ac:dyDescent="0.2">
      <c r="A65" s="38"/>
      <c r="C65" s="200">
        <v>6320</v>
      </c>
      <c r="D65" s="37" t="s">
        <v>10</v>
      </c>
      <c r="E65" s="39">
        <f>'Exp Details'!K19</f>
        <v>208.33333333333334</v>
      </c>
      <c r="F65" s="39">
        <f>'Exp Details'!L19</f>
        <v>208.33333333333334</v>
      </c>
      <c r="G65" s="39">
        <f>'Exp Details'!M19</f>
        <v>208.33333333333334</v>
      </c>
      <c r="H65" s="39">
        <f>'Exp Details'!N19</f>
        <v>208.33333333333334</v>
      </c>
      <c r="I65" s="39">
        <f>'Exp Details'!O19</f>
        <v>208.33333333333334</v>
      </c>
      <c r="J65" s="39">
        <f>'Exp Details'!P19</f>
        <v>208.33333333333334</v>
      </c>
      <c r="K65" s="39">
        <f>'Exp Details'!Q19</f>
        <v>208.33333333333334</v>
      </c>
      <c r="L65" s="39">
        <f>'Exp Details'!R19</f>
        <v>208.33333333333334</v>
      </c>
      <c r="M65" s="39">
        <f>'Exp Details'!S19</f>
        <v>208.33333333333334</v>
      </c>
      <c r="N65" s="39">
        <f>'Exp Details'!T19</f>
        <v>208.33333333333334</v>
      </c>
      <c r="O65" s="39">
        <f>'Exp Details'!U19</f>
        <v>208.33333333333334</v>
      </c>
      <c r="P65" s="39">
        <f>'Exp Details'!V19</f>
        <v>208.33333333333334</v>
      </c>
      <c r="Q65" s="36"/>
      <c r="R65" s="41"/>
      <c r="S65" s="355">
        <f t="shared" si="39"/>
        <v>2500</v>
      </c>
      <c r="T65" s="41"/>
      <c r="U65" s="363">
        <f t="shared" si="2"/>
        <v>1666.6666666666665</v>
      </c>
      <c r="V65" s="41"/>
      <c r="W65" s="363">
        <v>750</v>
      </c>
      <c r="X65" s="363">
        <f t="shared" si="40"/>
        <v>1750</v>
      </c>
      <c r="Y65" s="41"/>
      <c r="Z65" s="363">
        <v>2250</v>
      </c>
      <c r="AA65" s="363">
        <f>Z65-S65</f>
        <v>-250</v>
      </c>
      <c r="AB65" s="41"/>
      <c r="AC65" s="249">
        <v>0</v>
      </c>
      <c r="AD65" s="249">
        <f>AC65-S65</f>
        <v>-2500</v>
      </c>
    </row>
    <row r="66" spans="1:30" s="37" customFormat="1" ht="12" x14ac:dyDescent="0.2">
      <c r="A66" s="38"/>
      <c r="C66" s="200">
        <v>6331</v>
      </c>
      <c r="D66" s="37" t="s">
        <v>11</v>
      </c>
      <c r="E66" s="39">
        <f>'Exp Details'!K26</f>
        <v>83.333333333333329</v>
      </c>
      <c r="F66" s="39">
        <f>'Exp Details'!L26</f>
        <v>83.333333333333329</v>
      </c>
      <c r="G66" s="39">
        <f>'Exp Details'!M26</f>
        <v>83.333333333333329</v>
      </c>
      <c r="H66" s="39">
        <f>'Exp Details'!N26</f>
        <v>83.333333333333329</v>
      </c>
      <c r="I66" s="39">
        <f>'Exp Details'!O26</f>
        <v>83.333333333333329</v>
      </c>
      <c r="J66" s="39">
        <f>'Exp Details'!P26</f>
        <v>83.333333333333329</v>
      </c>
      <c r="K66" s="39">
        <f>'Exp Details'!Q26</f>
        <v>83.333333333333329</v>
      </c>
      <c r="L66" s="39">
        <f>'Exp Details'!R26</f>
        <v>83.333333333333329</v>
      </c>
      <c r="M66" s="39">
        <f>'Exp Details'!S26</f>
        <v>83.333333333333329</v>
      </c>
      <c r="N66" s="39">
        <f>'Exp Details'!T26</f>
        <v>83.333333333333329</v>
      </c>
      <c r="O66" s="39">
        <f>'Exp Details'!U26</f>
        <v>83.333333333333329</v>
      </c>
      <c r="P66" s="39">
        <f>'Exp Details'!V26</f>
        <v>83.333333333333329</v>
      </c>
      <c r="Q66" s="36"/>
      <c r="R66" s="41"/>
      <c r="S66" s="355">
        <f t="shared" si="39"/>
        <v>1000.0000000000001</v>
      </c>
      <c r="T66" s="41"/>
      <c r="U66" s="363">
        <f t="shared" si="2"/>
        <v>666.66666666666663</v>
      </c>
      <c r="V66" s="41"/>
      <c r="W66" s="363">
        <v>0</v>
      </c>
      <c r="X66" s="363">
        <f t="shared" si="40"/>
        <v>1000.0000000000001</v>
      </c>
      <c r="Y66" s="41"/>
      <c r="Z66" s="363">
        <v>1000.0000000000001</v>
      </c>
      <c r="AA66" s="363">
        <f>Z66-S66</f>
        <v>0</v>
      </c>
      <c r="AB66" s="41"/>
      <c r="AC66" s="249">
        <v>0</v>
      </c>
      <c r="AD66" s="249">
        <f>AC66-S66</f>
        <v>-1000.0000000000001</v>
      </c>
    </row>
    <row r="67" spans="1:30" s="37" customFormat="1" ht="12" x14ac:dyDescent="0.2">
      <c r="A67" s="38"/>
      <c r="C67" s="200">
        <v>6334</v>
      </c>
      <c r="D67" s="37" t="s">
        <v>12</v>
      </c>
      <c r="E67" s="39">
        <f>'Exp Details'!K33</f>
        <v>62.5</v>
      </c>
      <c r="F67" s="39">
        <f>'Exp Details'!L33</f>
        <v>62.5</v>
      </c>
      <c r="G67" s="39">
        <f>'Exp Details'!M33</f>
        <v>62.5</v>
      </c>
      <c r="H67" s="39">
        <f>'Exp Details'!N33</f>
        <v>62.5</v>
      </c>
      <c r="I67" s="39">
        <f>'Exp Details'!O33</f>
        <v>62.5</v>
      </c>
      <c r="J67" s="39">
        <f>'Exp Details'!P33</f>
        <v>62.5</v>
      </c>
      <c r="K67" s="39">
        <f>'Exp Details'!Q33</f>
        <v>62.5</v>
      </c>
      <c r="L67" s="39">
        <f>'Exp Details'!R33</f>
        <v>62.5</v>
      </c>
      <c r="M67" s="39">
        <f>'Exp Details'!S33</f>
        <v>62.5</v>
      </c>
      <c r="N67" s="39">
        <f>'Exp Details'!T33</f>
        <v>62.5</v>
      </c>
      <c r="O67" s="39">
        <f>'Exp Details'!U33</f>
        <v>62.5</v>
      </c>
      <c r="P67" s="39">
        <f>'Exp Details'!V33</f>
        <v>62.5</v>
      </c>
      <c r="Q67" s="36"/>
      <c r="R67" s="41"/>
      <c r="S67" s="355">
        <f t="shared" si="39"/>
        <v>750</v>
      </c>
      <c r="T67" s="41"/>
      <c r="U67" s="363">
        <f t="shared" si="2"/>
        <v>500</v>
      </c>
      <c r="V67" s="41"/>
      <c r="W67" s="363">
        <v>1000.0000000000001</v>
      </c>
      <c r="X67" s="363">
        <f t="shared" si="40"/>
        <v>-250.00000000000011</v>
      </c>
      <c r="Y67" s="41"/>
      <c r="Z67" s="363">
        <v>1000.0000000000001</v>
      </c>
      <c r="AA67" s="363">
        <f>Z67-S67</f>
        <v>250.00000000000011</v>
      </c>
      <c r="AB67" s="41"/>
      <c r="AC67" s="249">
        <v>0</v>
      </c>
      <c r="AD67" s="249">
        <f>AC67-S67</f>
        <v>-750</v>
      </c>
    </row>
    <row r="68" spans="1:30" s="37" customFormat="1" ht="12" x14ac:dyDescent="0.2">
      <c r="A68" s="38"/>
      <c r="C68" s="200">
        <v>6336</v>
      </c>
      <c r="D68" s="37" t="s">
        <v>13</v>
      </c>
      <c r="E68" s="39">
        <f>'Exp Details'!K39</f>
        <v>0</v>
      </c>
      <c r="F68" s="39">
        <f>'Exp Details'!L39</f>
        <v>0</v>
      </c>
      <c r="G68" s="39">
        <f>'Exp Details'!M39</f>
        <v>0</v>
      </c>
      <c r="H68" s="39">
        <f>'Exp Details'!N39</f>
        <v>0</v>
      </c>
      <c r="I68" s="39">
        <f>'Exp Details'!O39</f>
        <v>0</v>
      </c>
      <c r="J68" s="39">
        <f>'Exp Details'!P39</f>
        <v>0</v>
      </c>
      <c r="K68" s="39">
        <f>'Exp Details'!Q39</f>
        <v>0</v>
      </c>
      <c r="L68" s="39">
        <f>'Exp Details'!R39</f>
        <v>0</v>
      </c>
      <c r="M68" s="39">
        <f>'Exp Details'!S39</f>
        <v>0</v>
      </c>
      <c r="N68" s="39">
        <f>'Exp Details'!T39</f>
        <v>0</v>
      </c>
      <c r="O68" s="39">
        <f>'Exp Details'!U39</f>
        <v>0</v>
      </c>
      <c r="P68" s="39">
        <f>'Exp Details'!V39</f>
        <v>0</v>
      </c>
      <c r="Q68" s="36"/>
      <c r="R68" s="41"/>
      <c r="S68" s="355">
        <f>SUM(E68:Q68)</f>
        <v>0</v>
      </c>
      <c r="T68" s="41"/>
      <c r="U68" s="363">
        <f t="shared" si="2"/>
        <v>0</v>
      </c>
      <c r="V68" s="41"/>
      <c r="W68" s="363">
        <v>0</v>
      </c>
      <c r="X68" s="363">
        <f t="shared" si="40"/>
        <v>0</v>
      </c>
      <c r="Y68" s="41"/>
      <c r="Z68" s="363">
        <v>0</v>
      </c>
      <c r="AA68" s="363">
        <f t="shared" ref="AA68:AA73" si="41">Z68-S68</f>
        <v>0</v>
      </c>
      <c r="AB68" s="41"/>
      <c r="AC68" s="249">
        <v>0</v>
      </c>
      <c r="AD68" s="249">
        <f t="shared" ref="AD68:AD73" si="42">AC68-S68</f>
        <v>0</v>
      </c>
    </row>
    <row r="69" spans="1:30" s="37" customFormat="1" ht="12" x14ac:dyDescent="0.2">
      <c r="A69" s="38"/>
      <c r="C69" s="200">
        <v>6337</v>
      </c>
      <c r="D69" s="37" t="s">
        <v>14</v>
      </c>
      <c r="E69" s="39">
        <f>'Exp Details'!K46</f>
        <v>41.666666666666664</v>
      </c>
      <c r="F69" s="39">
        <f>'Exp Details'!L46</f>
        <v>41.666666666666664</v>
      </c>
      <c r="G69" s="39">
        <f>'Exp Details'!M46</f>
        <v>41.666666666666664</v>
      </c>
      <c r="H69" s="39">
        <f>'Exp Details'!N46</f>
        <v>41.666666666666664</v>
      </c>
      <c r="I69" s="39">
        <f>'Exp Details'!O46</f>
        <v>41.666666666666664</v>
      </c>
      <c r="J69" s="39">
        <f>'Exp Details'!P46</f>
        <v>41.666666666666664</v>
      </c>
      <c r="K69" s="39">
        <f>'Exp Details'!Q46</f>
        <v>41.666666666666664</v>
      </c>
      <c r="L69" s="39">
        <f>'Exp Details'!R46</f>
        <v>41.666666666666664</v>
      </c>
      <c r="M69" s="39">
        <f>'Exp Details'!S46</f>
        <v>41.666666666666664</v>
      </c>
      <c r="N69" s="39">
        <f>'Exp Details'!T46</f>
        <v>41.666666666666664</v>
      </c>
      <c r="O69" s="39">
        <f>'Exp Details'!U46</f>
        <v>41.666666666666664</v>
      </c>
      <c r="P69" s="39">
        <f>'Exp Details'!V46</f>
        <v>41.666666666666664</v>
      </c>
      <c r="Q69" s="36"/>
      <c r="R69" s="41"/>
      <c r="S69" s="355">
        <f t="shared" si="39"/>
        <v>500.00000000000006</v>
      </c>
      <c r="T69" s="41"/>
      <c r="U69" s="363">
        <f t="shared" si="2"/>
        <v>333.33333333333331</v>
      </c>
      <c r="V69" s="41"/>
      <c r="W69" s="363">
        <v>0</v>
      </c>
      <c r="X69" s="363">
        <f t="shared" si="40"/>
        <v>500.00000000000006</v>
      </c>
      <c r="Y69" s="41"/>
      <c r="Z69" s="363">
        <v>500.00000000000006</v>
      </c>
      <c r="AA69" s="363">
        <f t="shared" si="41"/>
        <v>0</v>
      </c>
      <c r="AB69" s="41"/>
      <c r="AC69" s="249">
        <v>0</v>
      </c>
      <c r="AD69" s="249">
        <f t="shared" si="42"/>
        <v>-500.00000000000006</v>
      </c>
    </row>
    <row r="70" spans="1:30" s="37" customFormat="1" ht="12" x14ac:dyDescent="0.2">
      <c r="A70" s="38"/>
      <c r="C70" s="200">
        <v>6340</v>
      </c>
      <c r="D70" s="37" t="s">
        <v>15</v>
      </c>
      <c r="E70" s="39">
        <f>'Exp Details'!K54</f>
        <v>2430</v>
      </c>
      <c r="F70" s="39">
        <f>'Exp Details'!L54</f>
        <v>2430</v>
      </c>
      <c r="G70" s="39">
        <f>'Exp Details'!M54</f>
        <v>2430</v>
      </c>
      <c r="H70" s="39">
        <f>'Exp Details'!N54</f>
        <v>2430</v>
      </c>
      <c r="I70" s="39">
        <f>'Exp Details'!O54</f>
        <v>2430</v>
      </c>
      <c r="J70" s="39">
        <f>'Exp Details'!P54</f>
        <v>2430</v>
      </c>
      <c r="K70" s="39">
        <f>'Exp Details'!Q54</f>
        <v>2430</v>
      </c>
      <c r="L70" s="39">
        <f>'Exp Details'!R54</f>
        <v>2430</v>
      </c>
      <c r="M70" s="39">
        <f>'Exp Details'!S54</f>
        <v>2430</v>
      </c>
      <c r="N70" s="39">
        <f>'Exp Details'!T54</f>
        <v>2430</v>
      </c>
      <c r="O70" s="39">
        <f>'Exp Details'!U54</f>
        <v>2430</v>
      </c>
      <c r="P70" s="39">
        <f>'Exp Details'!V54</f>
        <v>2430</v>
      </c>
      <c r="Q70" s="36"/>
      <c r="R70" s="41"/>
      <c r="S70" s="355">
        <f>SUM(E70:Q70)</f>
        <v>29160</v>
      </c>
      <c r="T70" s="41"/>
      <c r="U70" s="363">
        <f t="shared" si="2"/>
        <v>19440</v>
      </c>
      <c r="V70" s="41"/>
      <c r="W70" s="363">
        <v>213358.00000000003</v>
      </c>
      <c r="X70" s="363">
        <f t="shared" si="40"/>
        <v>-184198.00000000003</v>
      </c>
      <c r="Y70" s="41"/>
      <c r="Z70" s="363">
        <v>282910.00000000006</v>
      </c>
      <c r="AA70" s="363">
        <f t="shared" si="41"/>
        <v>253750.00000000006</v>
      </c>
      <c r="AB70" s="41"/>
      <c r="AC70" s="249">
        <v>0</v>
      </c>
      <c r="AD70" s="249">
        <f t="shared" si="42"/>
        <v>-29160</v>
      </c>
    </row>
    <row r="71" spans="1:30" s="37" customFormat="1" ht="12" x14ac:dyDescent="0.2">
      <c r="A71" s="38"/>
      <c r="C71" s="200">
        <v>6345</v>
      </c>
      <c r="D71" s="37" t="s">
        <v>16</v>
      </c>
      <c r="E71" s="39">
        <f>'Exp Details'!K60</f>
        <v>0</v>
      </c>
      <c r="F71" s="39">
        <f>'Exp Details'!L60</f>
        <v>0</v>
      </c>
      <c r="G71" s="39">
        <f>'Exp Details'!M60</f>
        <v>0</v>
      </c>
      <c r="H71" s="39">
        <f>'Exp Details'!N60</f>
        <v>0</v>
      </c>
      <c r="I71" s="39">
        <f>'Exp Details'!O60</f>
        <v>0</v>
      </c>
      <c r="J71" s="39">
        <f>'Exp Details'!P60</f>
        <v>0</v>
      </c>
      <c r="K71" s="39">
        <f>'Exp Details'!Q60</f>
        <v>0</v>
      </c>
      <c r="L71" s="39">
        <f>'Exp Details'!R60</f>
        <v>0</v>
      </c>
      <c r="M71" s="39">
        <f>'Exp Details'!S60</f>
        <v>0</v>
      </c>
      <c r="N71" s="39">
        <f>'Exp Details'!T60</f>
        <v>0</v>
      </c>
      <c r="O71" s="39">
        <f>'Exp Details'!U60</f>
        <v>0</v>
      </c>
      <c r="P71" s="39">
        <f>'Exp Details'!V60</f>
        <v>0</v>
      </c>
      <c r="Q71" s="36"/>
      <c r="R71" s="41"/>
      <c r="S71" s="355">
        <f t="shared" si="39"/>
        <v>0</v>
      </c>
      <c r="T71" s="41"/>
      <c r="U71" s="363">
        <f t="shared" si="2"/>
        <v>0</v>
      </c>
      <c r="V71" s="41"/>
      <c r="W71" s="363">
        <v>0</v>
      </c>
      <c r="X71" s="363">
        <f t="shared" si="40"/>
        <v>0</v>
      </c>
      <c r="Y71" s="41"/>
      <c r="Z71" s="363">
        <v>0</v>
      </c>
      <c r="AA71" s="363">
        <f t="shared" si="41"/>
        <v>0</v>
      </c>
      <c r="AB71" s="41"/>
      <c r="AC71" s="249">
        <v>0</v>
      </c>
      <c r="AD71" s="249">
        <f t="shared" si="42"/>
        <v>0</v>
      </c>
    </row>
    <row r="72" spans="1:30" s="37" customFormat="1" ht="12" x14ac:dyDescent="0.2">
      <c r="A72" s="38"/>
      <c r="C72" s="200">
        <v>6350</v>
      </c>
      <c r="D72" s="37" t="s">
        <v>17</v>
      </c>
      <c r="E72" s="39">
        <f>'Exp Details'!K66</f>
        <v>166.66666666666666</v>
      </c>
      <c r="F72" s="39">
        <f>'Exp Details'!L66</f>
        <v>166.66666666666666</v>
      </c>
      <c r="G72" s="39">
        <f>'Exp Details'!M66</f>
        <v>166.66666666666666</v>
      </c>
      <c r="H72" s="39">
        <f>'Exp Details'!N66</f>
        <v>166.66666666666666</v>
      </c>
      <c r="I72" s="39">
        <f>'Exp Details'!O66</f>
        <v>166.66666666666666</v>
      </c>
      <c r="J72" s="39">
        <f>'Exp Details'!P66</f>
        <v>166.66666666666666</v>
      </c>
      <c r="K72" s="39">
        <f>'Exp Details'!Q66</f>
        <v>166.66666666666666</v>
      </c>
      <c r="L72" s="39">
        <f>'Exp Details'!R66</f>
        <v>166.66666666666666</v>
      </c>
      <c r="M72" s="39">
        <f>'Exp Details'!S66</f>
        <v>166.66666666666666</v>
      </c>
      <c r="N72" s="39">
        <f>'Exp Details'!T66</f>
        <v>166.66666666666666</v>
      </c>
      <c r="O72" s="39">
        <f>'Exp Details'!U66</f>
        <v>166.66666666666666</v>
      </c>
      <c r="P72" s="39">
        <f>'Exp Details'!V66</f>
        <v>166.66666666666666</v>
      </c>
      <c r="Q72" s="36"/>
      <c r="R72" s="41"/>
      <c r="S72" s="355">
        <f t="shared" si="39"/>
        <v>2000.0000000000002</v>
      </c>
      <c r="T72" s="41"/>
      <c r="U72" s="363">
        <f t="shared" si="2"/>
        <v>1333.3333333333333</v>
      </c>
      <c r="V72" s="41"/>
      <c r="W72" s="363">
        <v>1000.0000000000001</v>
      </c>
      <c r="X72" s="363">
        <f t="shared" si="40"/>
        <v>1000.0000000000001</v>
      </c>
      <c r="Y72" s="41"/>
      <c r="Z72" s="363">
        <v>1000.0000000000001</v>
      </c>
      <c r="AA72" s="363">
        <f t="shared" si="41"/>
        <v>-1000.0000000000001</v>
      </c>
      <c r="AB72" s="41"/>
      <c r="AC72" s="249">
        <v>0</v>
      </c>
      <c r="AD72" s="249">
        <f t="shared" si="42"/>
        <v>-2000.0000000000002</v>
      </c>
    </row>
    <row r="73" spans="1:30" s="37" customFormat="1" ht="12" x14ac:dyDescent="0.2">
      <c r="A73" s="38"/>
      <c r="C73" s="200">
        <v>6351</v>
      </c>
      <c r="D73" s="37" t="s">
        <v>18</v>
      </c>
      <c r="E73" s="39">
        <f>'Exp Details'!K75</f>
        <v>0</v>
      </c>
      <c r="F73" s="39">
        <f>'Exp Details'!L75</f>
        <v>0</v>
      </c>
      <c r="G73" s="39">
        <f>'Exp Details'!M75</f>
        <v>0</v>
      </c>
      <c r="H73" s="39">
        <f>'Exp Details'!N75</f>
        <v>0</v>
      </c>
      <c r="I73" s="39">
        <f>'Exp Details'!O75</f>
        <v>0</v>
      </c>
      <c r="J73" s="39">
        <f>'Exp Details'!P75</f>
        <v>0</v>
      </c>
      <c r="K73" s="39">
        <f>'Exp Details'!Q75</f>
        <v>0</v>
      </c>
      <c r="L73" s="39">
        <f>'Exp Details'!R75</f>
        <v>0</v>
      </c>
      <c r="M73" s="39">
        <f>'Exp Details'!S75</f>
        <v>0</v>
      </c>
      <c r="N73" s="39">
        <f>'Exp Details'!T75</f>
        <v>0</v>
      </c>
      <c r="O73" s="39">
        <f>'Exp Details'!U75</f>
        <v>0</v>
      </c>
      <c r="P73" s="39">
        <f>'Exp Details'!V75</f>
        <v>0</v>
      </c>
      <c r="Q73" s="36"/>
      <c r="R73" s="41"/>
      <c r="S73" s="355">
        <f t="shared" si="39"/>
        <v>0</v>
      </c>
      <c r="T73" s="41"/>
      <c r="U73" s="363">
        <f t="shared" ref="U73:U117" si="43">SUM(E73:L73)</f>
        <v>0</v>
      </c>
      <c r="V73" s="41"/>
      <c r="W73" s="363">
        <v>0</v>
      </c>
      <c r="X73" s="363">
        <f t="shared" si="40"/>
        <v>0</v>
      </c>
      <c r="Y73" s="41"/>
      <c r="Z73" s="363">
        <v>0</v>
      </c>
      <c r="AA73" s="363">
        <f t="shared" si="41"/>
        <v>0</v>
      </c>
      <c r="AB73" s="41"/>
      <c r="AC73" s="249">
        <v>0</v>
      </c>
      <c r="AD73" s="249">
        <f t="shared" si="42"/>
        <v>0</v>
      </c>
    </row>
    <row r="74" spans="1:30" s="37" customFormat="1" ht="12" x14ac:dyDescent="0.2">
      <c r="A74" s="38"/>
      <c r="C74" s="38"/>
      <c r="E74" s="50">
        <f t="shared" ref="E74:O74" si="44">SUBTOTAL(9,E64:E73)</f>
        <v>3185</v>
      </c>
      <c r="F74" s="50">
        <f t="shared" si="44"/>
        <v>3185</v>
      </c>
      <c r="G74" s="50">
        <f t="shared" si="44"/>
        <v>3185</v>
      </c>
      <c r="H74" s="50">
        <f t="shared" si="44"/>
        <v>3185</v>
      </c>
      <c r="I74" s="50">
        <f t="shared" si="44"/>
        <v>3185</v>
      </c>
      <c r="J74" s="50">
        <f t="shared" si="44"/>
        <v>3185</v>
      </c>
      <c r="K74" s="50">
        <f t="shared" si="44"/>
        <v>3185</v>
      </c>
      <c r="L74" s="50">
        <f t="shared" si="44"/>
        <v>3185</v>
      </c>
      <c r="M74" s="50">
        <f t="shared" si="44"/>
        <v>3185</v>
      </c>
      <c r="N74" s="50">
        <f t="shared" si="44"/>
        <v>3185</v>
      </c>
      <c r="O74" s="50">
        <f t="shared" si="44"/>
        <v>3185</v>
      </c>
      <c r="P74" s="50">
        <f t="shared" ref="P74" si="45">SUBTOTAL(9,P64:P73)</f>
        <v>3185</v>
      </c>
      <c r="Q74" s="51"/>
      <c r="R74" s="41"/>
      <c r="S74" s="356">
        <f>SUBTOTAL(9,S64:S73)</f>
        <v>38220</v>
      </c>
      <c r="T74" s="41"/>
      <c r="U74" s="364">
        <f t="shared" si="43"/>
        <v>25480</v>
      </c>
      <c r="V74" s="41"/>
      <c r="W74" s="364">
        <v>217608.00000000003</v>
      </c>
      <c r="X74" s="364">
        <f>SUBTOTAL(9,X64:X73)</f>
        <v>-179388.00000000003</v>
      </c>
      <c r="Y74" s="41"/>
      <c r="Z74" s="364">
        <v>290910.00000000006</v>
      </c>
      <c r="AA74" s="364">
        <f>SUBTOTAL(9,AA64:AA73)</f>
        <v>252690.00000000006</v>
      </c>
      <c r="AB74" s="41"/>
      <c r="AC74" s="251">
        <f>SUBTOTAL(9,AC64:AC73)</f>
        <v>0</v>
      </c>
      <c r="AD74" s="251">
        <f>SUBTOTAL(9,AD64:AD73)</f>
        <v>-38220</v>
      </c>
    </row>
    <row r="75" spans="1:30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/>
      <c r="R75" s="41"/>
      <c r="S75" s="355"/>
      <c r="T75" s="41"/>
      <c r="U75" s="363">
        <f t="shared" si="43"/>
        <v>0</v>
      </c>
      <c r="V75" s="41"/>
      <c r="W75" s="363"/>
      <c r="X75" s="363"/>
      <c r="Y75" s="41"/>
      <c r="Z75" s="363"/>
      <c r="AA75" s="363"/>
      <c r="AB75" s="41"/>
      <c r="AC75" s="249"/>
      <c r="AD75" s="249"/>
    </row>
    <row r="76" spans="1:30" s="37" customFormat="1" ht="12" x14ac:dyDescent="0.2">
      <c r="C76" s="200">
        <v>6410</v>
      </c>
      <c r="D76" s="37" t="s">
        <v>19</v>
      </c>
      <c r="E76" s="39">
        <f>'Exp Details'!K83</f>
        <v>200</v>
      </c>
      <c r="F76" s="39">
        <f>'Exp Details'!L83</f>
        <v>200</v>
      </c>
      <c r="G76" s="39">
        <f>'Exp Details'!M83</f>
        <v>200</v>
      </c>
      <c r="H76" s="39">
        <f>'Exp Details'!N83</f>
        <v>200</v>
      </c>
      <c r="I76" s="39">
        <f>'Exp Details'!O83</f>
        <v>200</v>
      </c>
      <c r="J76" s="39">
        <f>'Exp Details'!P83</f>
        <v>200</v>
      </c>
      <c r="K76" s="39">
        <f>'Exp Details'!Q83</f>
        <v>200</v>
      </c>
      <c r="L76" s="39">
        <f>'Exp Details'!R83</f>
        <v>200</v>
      </c>
      <c r="M76" s="39">
        <f>'Exp Details'!S83</f>
        <v>200</v>
      </c>
      <c r="N76" s="39">
        <f>'Exp Details'!T83</f>
        <v>200</v>
      </c>
      <c r="O76" s="39">
        <f>'Exp Details'!U83</f>
        <v>200</v>
      </c>
      <c r="P76" s="39">
        <f>'Exp Details'!V83</f>
        <v>200</v>
      </c>
      <c r="Q76" s="36"/>
      <c r="R76" s="41"/>
      <c r="S76" s="355">
        <f t="shared" ref="S76:S79" si="46">SUM(E76:Q76)</f>
        <v>2400</v>
      </c>
      <c r="T76" s="41"/>
      <c r="U76" s="363">
        <f t="shared" si="43"/>
        <v>1600</v>
      </c>
      <c r="V76" s="41"/>
      <c r="W76" s="363">
        <v>0</v>
      </c>
      <c r="X76" s="363">
        <f>W76-P76</f>
        <v>-200</v>
      </c>
      <c r="Y76" s="41"/>
      <c r="Z76" s="363">
        <v>0</v>
      </c>
      <c r="AA76" s="363">
        <f>Z76-S76</f>
        <v>-2400</v>
      </c>
      <c r="AB76" s="41"/>
      <c r="AC76" s="249">
        <v>0</v>
      </c>
      <c r="AD76" s="249">
        <f>AC76-S76</f>
        <v>-2400</v>
      </c>
    </row>
    <row r="77" spans="1:30" s="37" customFormat="1" ht="12" x14ac:dyDescent="0.2">
      <c r="C77" s="200">
        <v>6420</v>
      </c>
      <c r="D77" s="37" t="s">
        <v>20</v>
      </c>
      <c r="E77" s="39">
        <f>'Exp Details'!K95</f>
        <v>808.33333333333337</v>
      </c>
      <c r="F77" s="39">
        <f>'Exp Details'!L95</f>
        <v>808.33333333333337</v>
      </c>
      <c r="G77" s="39">
        <f>'Exp Details'!M95</f>
        <v>1658.3333333333333</v>
      </c>
      <c r="H77" s="39">
        <f>'Exp Details'!N95</f>
        <v>808.33333333333337</v>
      </c>
      <c r="I77" s="39">
        <f>'Exp Details'!O95</f>
        <v>808.33333333333337</v>
      </c>
      <c r="J77" s="39">
        <f>'Exp Details'!P95</f>
        <v>1058.3333333333333</v>
      </c>
      <c r="K77" s="39">
        <f>'Exp Details'!Q95</f>
        <v>808.33333333333337</v>
      </c>
      <c r="L77" s="39">
        <f>'Exp Details'!R95</f>
        <v>808.33333333333337</v>
      </c>
      <c r="M77" s="39">
        <f>'Exp Details'!S95</f>
        <v>1058.3333333333333</v>
      </c>
      <c r="N77" s="39">
        <f>'Exp Details'!T95</f>
        <v>808.33333333333337</v>
      </c>
      <c r="O77" s="39">
        <f>'Exp Details'!U95</f>
        <v>808.33333333333337</v>
      </c>
      <c r="P77" s="39">
        <f>'Exp Details'!V95</f>
        <v>1058.3333333333333</v>
      </c>
      <c r="Q77" s="36"/>
      <c r="R77" s="41"/>
      <c r="S77" s="355">
        <f t="shared" si="46"/>
        <v>11300.000000000002</v>
      </c>
      <c r="T77" s="41"/>
      <c r="U77" s="363">
        <f t="shared" si="43"/>
        <v>7566.6666666666661</v>
      </c>
      <c r="V77" s="41"/>
      <c r="W77" s="363">
        <v>1800</v>
      </c>
      <c r="X77" s="363">
        <f t="shared" ref="X77:X79" si="47">S77-W77</f>
        <v>9500.0000000000018</v>
      </c>
      <c r="Y77" s="41"/>
      <c r="Z77" s="363">
        <v>1800</v>
      </c>
      <c r="AA77" s="363">
        <f>Z77-S77</f>
        <v>-9500.0000000000018</v>
      </c>
      <c r="AB77" s="41"/>
      <c r="AC77" s="249">
        <v>0</v>
      </c>
      <c r="AD77" s="249">
        <f>AC77-S77</f>
        <v>-11300.000000000002</v>
      </c>
    </row>
    <row r="78" spans="1:30" s="37" customFormat="1" ht="12" x14ac:dyDescent="0.2">
      <c r="C78" s="200">
        <v>6430</v>
      </c>
      <c r="D78" s="37" t="s">
        <v>21</v>
      </c>
      <c r="E78" s="39">
        <f>'Exp Details'!K111</f>
        <v>53170</v>
      </c>
      <c r="F78" s="39">
        <f>'Exp Details'!L111</f>
        <v>50</v>
      </c>
      <c r="G78" s="39">
        <f>'Exp Details'!M111</f>
        <v>500</v>
      </c>
      <c r="H78" s="39">
        <f>'Exp Details'!N111</f>
        <v>910</v>
      </c>
      <c r="I78" s="39">
        <f>'Exp Details'!O111</f>
        <v>50</v>
      </c>
      <c r="J78" s="39">
        <f>'Exp Details'!P111</f>
        <v>500</v>
      </c>
      <c r="K78" s="39">
        <f>'Exp Details'!Q111</f>
        <v>50</v>
      </c>
      <c r="L78" s="39">
        <f>'Exp Details'!R111</f>
        <v>50</v>
      </c>
      <c r="M78" s="39">
        <f>'Exp Details'!S111</f>
        <v>500</v>
      </c>
      <c r="N78" s="39">
        <f>'Exp Details'!T111</f>
        <v>50</v>
      </c>
      <c r="O78" s="39">
        <f>'Exp Details'!U111</f>
        <v>975</v>
      </c>
      <c r="P78" s="39">
        <f>'Exp Details'!V111</f>
        <v>500</v>
      </c>
      <c r="Q78" s="36"/>
      <c r="R78" s="41"/>
      <c r="S78" s="355">
        <f t="shared" si="46"/>
        <v>57305</v>
      </c>
      <c r="T78" s="41"/>
      <c r="U78" s="363">
        <f t="shared" si="43"/>
        <v>55280</v>
      </c>
      <c r="V78" s="41"/>
      <c r="W78" s="363">
        <v>700.00000000000011</v>
      </c>
      <c r="X78" s="363">
        <f t="shared" si="47"/>
        <v>56605</v>
      </c>
      <c r="Y78" s="41"/>
      <c r="Z78" s="363">
        <v>700.00000000000011</v>
      </c>
      <c r="AA78" s="363">
        <f>Z78-S78</f>
        <v>-56605</v>
      </c>
      <c r="AB78" s="41"/>
      <c r="AC78" s="249">
        <v>0</v>
      </c>
      <c r="AD78" s="249">
        <f>AC78-S78</f>
        <v>-57305</v>
      </c>
    </row>
    <row r="79" spans="1:30" s="37" customFormat="1" ht="12" x14ac:dyDescent="0.2">
      <c r="C79" s="200">
        <v>6441</v>
      </c>
      <c r="D79" s="37" t="s">
        <v>22</v>
      </c>
      <c r="E79" s="39">
        <f>'Exp Details'!K118</f>
        <v>9103.09</v>
      </c>
      <c r="F79" s="39">
        <f>'Exp Details'!L118</f>
        <v>9103.09</v>
      </c>
      <c r="G79" s="39">
        <f>'Exp Details'!M118</f>
        <v>9103.09</v>
      </c>
      <c r="H79" s="39">
        <f>'Exp Details'!N118</f>
        <v>9103.09</v>
      </c>
      <c r="I79" s="39">
        <f>'Exp Details'!O118</f>
        <v>9103.09</v>
      </c>
      <c r="J79" s="39">
        <f>'Exp Details'!P118</f>
        <v>9103.09</v>
      </c>
      <c r="K79" s="39">
        <f>'Exp Details'!Q118</f>
        <v>11103.09</v>
      </c>
      <c r="L79" s="39">
        <f>'Exp Details'!R118</f>
        <v>9103.09</v>
      </c>
      <c r="M79" s="39">
        <f>'Exp Details'!S118</f>
        <v>9103.09</v>
      </c>
      <c r="N79" s="39">
        <f>'Exp Details'!T118</f>
        <v>9103.09</v>
      </c>
      <c r="O79" s="39">
        <f>'Exp Details'!U118</f>
        <v>10372.950000000001</v>
      </c>
      <c r="P79" s="39">
        <f>'Exp Details'!V118</f>
        <v>10372.950000000001</v>
      </c>
      <c r="Q79" s="36"/>
      <c r="R79" s="41"/>
      <c r="S79" s="355">
        <f t="shared" si="46"/>
        <v>113776.79999999997</v>
      </c>
      <c r="T79" s="41"/>
      <c r="U79" s="363">
        <f t="shared" si="43"/>
        <v>74824.719999999987</v>
      </c>
      <c r="V79" s="41"/>
      <c r="W79" s="363">
        <v>29420.000000000004</v>
      </c>
      <c r="X79" s="363">
        <f t="shared" si="47"/>
        <v>84356.799999999974</v>
      </c>
      <c r="Y79" s="41"/>
      <c r="Z79" s="363">
        <v>29420.000000000004</v>
      </c>
      <c r="AA79" s="363">
        <f>Z79-S79</f>
        <v>-84356.799999999974</v>
      </c>
      <c r="AB79" s="41"/>
      <c r="AC79" s="249">
        <v>0</v>
      </c>
      <c r="AD79" s="249">
        <f>AC79-S79</f>
        <v>-113776.79999999997</v>
      </c>
    </row>
    <row r="80" spans="1:30" s="37" customFormat="1" ht="12" x14ac:dyDescent="0.2">
      <c r="C80" s="38"/>
      <c r="E80" s="50">
        <f t="shared" ref="E80:O80" si="48">SUBTOTAL(9,E76:E79)</f>
        <v>63281.42333333334</v>
      </c>
      <c r="F80" s="50">
        <f t="shared" si="48"/>
        <v>10161.423333333334</v>
      </c>
      <c r="G80" s="50">
        <f t="shared" si="48"/>
        <v>11461.423333333332</v>
      </c>
      <c r="H80" s="50">
        <f t="shared" si="48"/>
        <v>11021.423333333334</v>
      </c>
      <c r="I80" s="50">
        <f t="shared" si="48"/>
        <v>10161.423333333334</v>
      </c>
      <c r="J80" s="50">
        <f t="shared" si="48"/>
        <v>10861.423333333334</v>
      </c>
      <c r="K80" s="50">
        <f t="shared" si="48"/>
        <v>12161.423333333334</v>
      </c>
      <c r="L80" s="50">
        <f t="shared" si="48"/>
        <v>10161.423333333334</v>
      </c>
      <c r="M80" s="50">
        <f t="shared" si="48"/>
        <v>10861.423333333334</v>
      </c>
      <c r="N80" s="50">
        <f t="shared" si="48"/>
        <v>10161.423333333334</v>
      </c>
      <c r="O80" s="50">
        <f t="shared" si="48"/>
        <v>12356.283333333335</v>
      </c>
      <c r="P80" s="50">
        <f t="shared" ref="P80" si="49">SUBTOTAL(9,P76:P79)</f>
        <v>12131.283333333335</v>
      </c>
      <c r="Q80" s="51"/>
      <c r="R80" s="41"/>
      <c r="S80" s="356">
        <f t="shared" ref="S80:AA80" si="50">SUBTOTAL(9,S76:S79)</f>
        <v>184781.8</v>
      </c>
      <c r="T80" s="41"/>
      <c r="U80" s="364">
        <f t="shared" si="43"/>
        <v>139271.38666666672</v>
      </c>
      <c r="V80" s="41"/>
      <c r="W80" s="364">
        <v>31920.000000000004</v>
      </c>
      <c r="X80" s="364">
        <f t="shared" ref="X80" si="51">SUBTOTAL(9,X76:X79)</f>
        <v>150261.79999999999</v>
      </c>
      <c r="Y80" s="41"/>
      <c r="Z80" s="364">
        <v>31920.000000000004</v>
      </c>
      <c r="AA80" s="364">
        <f t="shared" si="50"/>
        <v>-152861.79999999999</v>
      </c>
      <c r="AB80" s="41"/>
      <c r="AC80" s="251">
        <f t="shared" ref="AC80:AD80" si="52">SUBTOTAL(9,AC76:AC79)</f>
        <v>0</v>
      </c>
      <c r="AD80" s="251">
        <f t="shared" si="52"/>
        <v>-184781.8</v>
      </c>
    </row>
    <row r="81" spans="3:32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/>
      <c r="R81" s="41"/>
      <c r="S81" s="355"/>
      <c r="T81" s="41"/>
      <c r="U81" s="363">
        <f t="shared" si="43"/>
        <v>0</v>
      </c>
      <c r="V81" s="41"/>
      <c r="W81" s="363"/>
      <c r="X81" s="363"/>
      <c r="Y81" s="41"/>
      <c r="Z81" s="363"/>
      <c r="AA81" s="363"/>
      <c r="AB81" s="41"/>
      <c r="AC81" s="249"/>
      <c r="AD81" s="249"/>
    </row>
    <row r="82" spans="3:32" s="37" customFormat="1" ht="12" x14ac:dyDescent="0.2">
      <c r="C82" s="200">
        <v>6519</v>
      </c>
      <c r="D82" s="37" t="s">
        <v>234</v>
      </c>
      <c r="E82" s="39">
        <f>'Exp Details'!K126</f>
        <v>33.333333333333336</v>
      </c>
      <c r="F82" s="39">
        <f>'Exp Details'!L126</f>
        <v>33.333333333333336</v>
      </c>
      <c r="G82" s="39">
        <f>'Exp Details'!M126</f>
        <v>33.333333333333336</v>
      </c>
      <c r="H82" s="39">
        <f>'Exp Details'!N126</f>
        <v>33.333333333333336</v>
      </c>
      <c r="I82" s="39">
        <f>'Exp Details'!O126</f>
        <v>33.333333333333336</v>
      </c>
      <c r="J82" s="39">
        <f>'Exp Details'!P126</f>
        <v>33.333333333333336</v>
      </c>
      <c r="K82" s="39">
        <f>'Exp Details'!Q126</f>
        <v>33.333333333333336</v>
      </c>
      <c r="L82" s="39">
        <f>'Exp Details'!R126</f>
        <v>33.333333333333336</v>
      </c>
      <c r="M82" s="39">
        <f>'Exp Details'!S126</f>
        <v>33.333333333333336</v>
      </c>
      <c r="N82" s="39">
        <f>'Exp Details'!T126</f>
        <v>33.333333333333336</v>
      </c>
      <c r="O82" s="39">
        <f>'Exp Details'!U126</f>
        <v>33.333333333333336</v>
      </c>
      <c r="P82" s="39">
        <f>'Exp Details'!V126</f>
        <v>33.333333333333336</v>
      </c>
      <c r="Q82" s="36"/>
      <c r="R82" s="41"/>
      <c r="S82" s="355">
        <f t="shared" ref="S82:S89" si="53">SUM(E82:Q82)</f>
        <v>399.99999999999994</v>
      </c>
      <c r="T82" s="41"/>
      <c r="U82" s="363">
        <f t="shared" si="43"/>
        <v>266.66666666666669</v>
      </c>
      <c r="V82" s="41"/>
      <c r="W82" s="363">
        <v>2100</v>
      </c>
      <c r="X82" s="363">
        <f t="shared" ref="X82:X93" si="54">S82-W82</f>
        <v>-1700</v>
      </c>
      <c r="Y82" s="41"/>
      <c r="Z82" s="363">
        <v>2100</v>
      </c>
      <c r="AA82" s="363">
        <f t="shared" ref="AA82:AA93" si="55">Z82-S82</f>
        <v>1700</v>
      </c>
      <c r="AB82" s="41"/>
      <c r="AC82" s="249">
        <v>0</v>
      </c>
      <c r="AD82" s="249">
        <f t="shared" ref="AD82:AD93" si="56">AC82-S82</f>
        <v>-399.99999999999994</v>
      </c>
    </row>
    <row r="83" spans="3:32" s="37" customFormat="1" ht="12" x14ac:dyDescent="0.2">
      <c r="C83" s="200">
        <v>6521</v>
      </c>
      <c r="D83" s="37" t="s">
        <v>24</v>
      </c>
      <c r="E83" s="39">
        <f>'Exp Details'!K135</f>
        <v>0</v>
      </c>
      <c r="F83" s="39">
        <f>'Exp Details'!L135</f>
        <v>3800</v>
      </c>
      <c r="G83" s="39">
        <f>'Exp Details'!M135</f>
        <v>0</v>
      </c>
      <c r="H83" s="39">
        <f>'Exp Details'!N135</f>
        <v>0</v>
      </c>
      <c r="I83" s="39">
        <f>'Exp Details'!O135</f>
        <v>0</v>
      </c>
      <c r="J83" s="39">
        <f>'Exp Details'!P135</f>
        <v>0</v>
      </c>
      <c r="K83" s="39">
        <f>'Exp Details'!Q135</f>
        <v>0</v>
      </c>
      <c r="L83" s="39">
        <f>'Exp Details'!R135</f>
        <v>0</v>
      </c>
      <c r="M83" s="39">
        <f>'Exp Details'!S135</f>
        <v>0</v>
      </c>
      <c r="N83" s="39">
        <f>'Exp Details'!T135</f>
        <v>0</v>
      </c>
      <c r="O83" s="39">
        <f>'Exp Details'!U135</f>
        <v>0</v>
      </c>
      <c r="P83" s="39">
        <f>'Exp Details'!V135</f>
        <v>0</v>
      </c>
      <c r="Q83" s="36"/>
      <c r="R83" s="41"/>
      <c r="S83" s="355">
        <f>SUM(E83:Q83)</f>
        <v>3800</v>
      </c>
      <c r="T83" s="41"/>
      <c r="U83" s="363">
        <f t="shared" si="43"/>
        <v>3800</v>
      </c>
      <c r="V83" s="41"/>
      <c r="W83" s="363">
        <v>0</v>
      </c>
      <c r="X83" s="363">
        <f t="shared" si="54"/>
        <v>3800</v>
      </c>
      <c r="Y83" s="41"/>
      <c r="Z83" s="363">
        <v>0</v>
      </c>
      <c r="AA83" s="363">
        <f t="shared" si="55"/>
        <v>-3800</v>
      </c>
      <c r="AB83" s="41"/>
      <c r="AC83" s="249">
        <v>0</v>
      </c>
      <c r="AD83" s="249">
        <f t="shared" si="56"/>
        <v>-3800</v>
      </c>
    </row>
    <row r="84" spans="3:32" s="37" customFormat="1" ht="12" x14ac:dyDescent="0.2">
      <c r="C84" s="200">
        <v>6522</v>
      </c>
      <c r="D84" s="37" t="s">
        <v>25</v>
      </c>
      <c r="E84" s="39">
        <f>'Exp Details'!K144</f>
        <v>0</v>
      </c>
      <c r="F84" s="39">
        <f>'Exp Details'!L144</f>
        <v>0</v>
      </c>
      <c r="G84" s="39">
        <f>'Exp Details'!M144</f>
        <v>0</v>
      </c>
      <c r="H84" s="39">
        <f>'Exp Details'!N144</f>
        <v>0</v>
      </c>
      <c r="I84" s="39">
        <f>'Exp Details'!O144</f>
        <v>0</v>
      </c>
      <c r="J84" s="39">
        <f>'Exp Details'!P144</f>
        <v>0</v>
      </c>
      <c r="K84" s="39">
        <f>'Exp Details'!Q144</f>
        <v>0</v>
      </c>
      <c r="L84" s="39">
        <f>'Exp Details'!R144</f>
        <v>0</v>
      </c>
      <c r="M84" s="39">
        <f>'Exp Details'!S144</f>
        <v>0</v>
      </c>
      <c r="N84" s="39">
        <f>'Exp Details'!T144</f>
        <v>0</v>
      </c>
      <c r="O84" s="39">
        <f>'Exp Details'!U144</f>
        <v>0</v>
      </c>
      <c r="P84" s="39">
        <f>'Exp Details'!V144</f>
        <v>0</v>
      </c>
      <c r="Q84" s="36"/>
      <c r="R84" s="41"/>
      <c r="S84" s="355">
        <f t="shared" si="53"/>
        <v>0</v>
      </c>
      <c r="T84" s="41"/>
      <c r="U84" s="363">
        <f t="shared" si="43"/>
        <v>0</v>
      </c>
      <c r="V84" s="41"/>
      <c r="W84" s="363">
        <v>0</v>
      </c>
      <c r="X84" s="363">
        <f t="shared" si="54"/>
        <v>0</v>
      </c>
      <c r="Y84" s="41"/>
      <c r="Z84" s="363">
        <v>0</v>
      </c>
      <c r="AA84" s="363">
        <f t="shared" si="55"/>
        <v>0</v>
      </c>
      <c r="AB84" s="41"/>
      <c r="AC84" s="249">
        <v>0</v>
      </c>
      <c r="AD84" s="249">
        <f t="shared" si="56"/>
        <v>0</v>
      </c>
    </row>
    <row r="85" spans="3:32" s="37" customFormat="1" ht="12" x14ac:dyDescent="0.2">
      <c r="C85" s="200">
        <v>6523</v>
      </c>
      <c r="D85" s="37" t="s">
        <v>26</v>
      </c>
      <c r="E85" s="39">
        <f>'Exp Details'!K153</f>
        <v>0</v>
      </c>
      <c r="F85" s="39">
        <f>'Exp Details'!L153</f>
        <v>0</v>
      </c>
      <c r="G85" s="39">
        <f>'Exp Details'!M153</f>
        <v>0</v>
      </c>
      <c r="H85" s="39">
        <f>'Exp Details'!N153</f>
        <v>0</v>
      </c>
      <c r="I85" s="39">
        <f>'Exp Details'!O153</f>
        <v>0</v>
      </c>
      <c r="J85" s="39">
        <f>'Exp Details'!P153</f>
        <v>0</v>
      </c>
      <c r="K85" s="39">
        <f>'Exp Details'!Q153</f>
        <v>0</v>
      </c>
      <c r="L85" s="39">
        <f>'Exp Details'!R153</f>
        <v>0</v>
      </c>
      <c r="M85" s="39">
        <f>'Exp Details'!S153</f>
        <v>0</v>
      </c>
      <c r="N85" s="39">
        <f>'Exp Details'!T153</f>
        <v>0</v>
      </c>
      <c r="O85" s="39">
        <f>'Exp Details'!U153</f>
        <v>0</v>
      </c>
      <c r="P85" s="39">
        <f>'Exp Details'!V153</f>
        <v>0</v>
      </c>
      <c r="Q85" s="36"/>
      <c r="R85" s="41"/>
      <c r="S85" s="355">
        <f t="shared" si="53"/>
        <v>0</v>
      </c>
      <c r="T85" s="41"/>
      <c r="U85" s="363">
        <f t="shared" si="43"/>
        <v>0</v>
      </c>
      <c r="V85" s="41"/>
      <c r="W85" s="363">
        <v>0</v>
      </c>
      <c r="X85" s="363">
        <f t="shared" si="54"/>
        <v>0</v>
      </c>
      <c r="Y85" s="41"/>
      <c r="Z85" s="363">
        <v>0</v>
      </c>
      <c r="AA85" s="363">
        <f t="shared" si="55"/>
        <v>0</v>
      </c>
      <c r="AB85" s="41"/>
      <c r="AC85" s="249">
        <v>0</v>
      </c>
      <c r="AD85" s="249">
        <f t="shared" si="56"/>
        <v>0</v>
      </c>
    </row>
    <row r="86" spans="3:32" s="37" customFormat="1" ht="12" x14ac:dyDescent="0.2">
      <c r="C86" s="200">
        <v>6531</v>
      </c>
      <c r="D86" s="37" t="s">
        <v>27</v>
      </c>
      <c r="E86" s="39">
        <f>'Exp Details'!K160</f>
        <v>150</v>
      </c>
      <c r="F86" s="39">
        <f>'Exp Details'!L160</f>
        <v>150</v>
      </c>
      <c r="G86" s="39">
        <f>'Exp Details'!M160</f>
        <v>150</v>
      </c>
      <c r="H86" s="39">
        <f>'Exp Details'!N160</f>
        <v>150</v>
      </c>
      <c r="I86" s="39">
        <f>'Exp Details'!O160</f>
        <v>150</v>
      </c>
      <c r="J86" s="39">
        <f>'Exp Details'!P160</f>
        <v>150</v>
      </c>
      <c r="K86" s="39">
        <f>'Exp Details'!Q160</f>
        <v>150</v>
      </c>
      <c r="L86" s="39">
        <f>'Exp Details'!R160</f>
        <v>150</v>
      </c>
      <c r="M86" s="39">
        <f>'Exp Details'!S160</f>
        <v>150</v>
      </c>
      <c r="N86" s="39">
        <f>'Exp Details'!T160</f>
        <v>150</v>
      </c>
      <c r="O86" s="39">
        <f>'Exp Details'!U160</f>
        <v>150</v>
      </c>
      <c r="P86" s="39">
        <f>'Exp Details'!V160</f>
        <v>150</v>
      </c>
      <c r="Q86" s="36"/>
      <c r="R86" s="41"/>
      <c r="S86" s="355">
        <f t="shared" si="53"/>
        <v>1800</v>
      </c>
      <c r="T86" s="41"/>
      <c r="U86" s="363">
        <f t="shared" si="43"/>
        <v>1200</v>
      </c>
      <c r="V86" s="41"/>
      <c r="W86" s="363">
        <v>0</v>
      </c>
      <c r="X86" s="363">
        <f t="shared" si="54"/>
        <v>1800</v>
      </c>
      <c r="Y86" s="41"/>
      <c r="Z86" s="363">
        <v>0</v>
      </c>
      <c r="AA86" s="363">
        <f t="shared" si="55"/>
        <v>-1800</v>
      </c>
      <c r="AB86" s="41"/>
      <c r="AC86" s="249">
        <v>0</v>
      </c>
      <c r="AD86" s="249">
        <f t="shared" si="56"/>
        <v>-1800</v>
      </c>
      <c r="AF86" s="37">
        <f>29156-7000-3950</f>
        <v>18206</v>
      </c>
    </row>
    <row r="87" spans="3:32" s="37" customFormat="1" ht="12" x14ac:dyDescent="0.2">
      <c r="C87" s="200">
        <v>6534</v>
      </c>
      <c r="D87" s="37" t="s">
        <v>28</v>
      </c>
      <c r="E87" s="39">
        <f>'Exp Details'!K166</f>
        <v>0</v>
      </c>
      <c r="F87" s="39">
        <f>'Exp Details'!L166</f>
        <v>0</v>
      </c>
      <c r="G87" s="39">
        <f>'Exp Details'!M166</f>
        <v>0</v>
      </c>
      <c r="H87" s="39">
        <f>'Exp Details'!N166</f>
        <v>0</v>
      </c>
      <c r="I87" s="39">
        <f>'Exp Details'!O166</f>
        <v>0</v>
      </c>
      <c r="J87" s="39">
        <f>'Exp Details'!P166</f>
        <v>0</v>
      </c>
      <c r="K87" s="39">
        <f>'Exp Details'!Q166</f>
        <v>0</v>
      </c>
      <c r="L87" s="39">
        <f>'Exp Details'!R166</f>
        <v>0</v>
      </c>
      <c r="M87" s="39">
        <f>'Exp Details'!S166</f>
        <v>0</v>
      </c>
      <c r="N87" s="39">
        <f>'Exp Details'!T166</f>
        <v>0</v>
      </c>
      <c r="O87" s="39">
        <f>'Exp Details'!U166</f>
        <v>0</v>
      </c>
      <c r="P87" s="39">
        <f>'Exp Details'!V166</f>
        <v>0</v>
      </c>
      <c r="Q87" s="36"/>
      <c r="R87" s="41"/>
      <c r="S87" s="355">
        <f t="shared" si="53"/>
        <v>0</v>
      </c>
      <c r="T87" s="41"/>
      <c r="U87" s="363">
        <f t="shared" si="43"/>
        <v>0</v>
      </c>
      <c r="V87" s="41"/>
      <c r="W87" s="363">
        <v>0</v>
      </c>
      <c r="X87" s="363">
        <f t="shared" si="54"/>
        <v>0</v>
      </c>
      <c r="Y87" s="41"/>
      <c r="Z87" s="363">
        <v>0</v>
      </c>
      <c r="AA87" s="363">
        <f t="shared" si="55"/>
        <v>0</v>
      </c>
      <c r="AB87" s="41"/>
      <c r="AC87" s="249">
        <v>0</v>
      </c>
      <c r="AD87" s="249">
        <f t="shared" si="56"/>
        <v>0</v>
      </c>
    </row>
    <row r="88" spans="3:32" s="37" customFormat="1" ht="12" x14ac:dyDescent="0.2">
      <c r="C88" s="200">
        <v>6535</v>
      </c>
      <c r="D88" s="37" t="s">
        <v>235</v>
      </c>
      <c r="E88" s="39">
        <f>'Exp Details'!K173</f>
        <v>145</v>
      </c>
      <c r="F88" s="39">
        <f>'Exp Details'!L173</f>
        <v>145</v>
      </c>
      <c r="G88" s="39">
        <f>'Exp Details'!M173</f>
        <v>145</v>
      </c>
      <c r="H88" s="39">
        <f>'Exp Details'!N173</f>
        <v>145</v>
      </c>
      <c r="I88" s="39">
        <f>'Exp Details'!O173</f>
        <v>145</v>
      </c>
      <c r="J88" s="39">
        <f>'Exp Details'!P173</f>
        <v>145</v>
      </c>
      <c r="K88" s="39">
        <f>'Exp Details'!Q173</f>
        <v>145</v>
      </c>
      <c r="L88" s="39">
        <f>'Exp Details'!R173</f>
        <v>145</v>
      </c>
      <c r="M88" s="39">
        <f>'Exp Details'!S173</f>
        <v>145</v>
      </c>
      <c r="N88" s="39">
        <f>'Exp Details'!T173</f>
        <v>145</v>
      </c>
      <c r="O88" s="39">
        <f>'Exp Details'!U173</f>
        <v>145</v>
      </c>
      <c r="P88" s="39">
        <f>'Exp Details'!V173</f>
        <v>145</v>
      </c>
      <c r="Q88" s="36"/>
      <c r="R88" s="41"/>
      <c r="S88" s="355">
        <f t="shared" si="53"/>
        <v>1740</v>
      </c>
      <c r="T88" s="41"/>
      <c r="U88" s="363">
        <f t="shared" si="43"/>
        <v>1160</v>
      </c>
      <c r="V88" s="41"/>
      <c r="W88" s="363">
        <v>0</v>
      </c>
      <c r="X88" s="363">
        <f t="shared" si="54"/>
        <v>1740</v>
      </c>
      <c r="Y88" s="41"/>
      <c r="Z88" s="363">
        <v>0</v>
      </c>
      <c r="AA88" s="363">
        <f t="shared" si="55"/>
        <v>-1740</v>
      </c>
      <c r="AB88" s="41"/>
      <c r="AC88" s="249">
        <v>0</v>
      </c>
      <c r="AD88" s="249">
        <f t="shared" si="56"/>
        <v>-1740</v>
      </c>
    </row>
    <row r="89" spans="3:32" s="37" customFormat="1" ht="12" x14ac:dyDescent="0.2">
      <c r="C89" s="200">
        <v>6540</v>
      </c>
      <c r="D89" s="37" t="s">
        <v>30</v>
      </c>
      <c r="E89" s="39">
        <f>'Exp Details'!K179</f>
        <v>166.66666666666666</v>
      </c>
      <c r="F89" s="39">
        <f>'Exp Details'!L179</f>
        <v>166.66666666666666</v>
      </c>
      <c r="G89" s="39">
        <f>'Exp Details'!M179</f>
        <v>166.66666666666666</v>
      </c>
      <c r="H89" s="39">
        <f>'Exp Details'!N179</f>
        <v>166.66666666666666</v>
      </c>
      <c r="I89" s="39">
        <f>'Exp Details'!O179</f>
        <v>166.66666666666666</v>
      </c>
      <c r="J89" s="39">
        <f>'Exp Details'!P179</f>
        <v>166.66666666666666</v>
      </c>
      <c r="K89" s="39">
        <f>'Exp Details'!Q179</f>
        <v>166.66666666666666</v>
      </c>
      <c r="L89" s="39">
        <f>'Exp Details'!R179</f>
        <v>166.66666666666666</v>
      </c>
      <c r="M89" s="39">
        <f>'Exp Details'!S179</f>
        <v>166.66666666666666</v>
      </c>
      <c r="N89" s="39">
        <f>'Exp Details'!T179</f>
        <v>166.66666666666666</v>
      </c>
      <c r="O89" s="39">
        <f>'Exp Details'!U179</f>
        <v>166.66666666666666</v>
      </c>
      <c r="P89" s="39">
        <f>'Exp Details'!V179</f>
        <v>166.66666666666666</v>
      </c>
      <c r="Q89" s="36"/>
      <c r="R89" s="41"/>
      <c r="S89" s="355">
        <f t="shared" si="53"/>
        <v>2000.0000000000002</v>
      </c>
      <c r="T89" s="41"/>
      <c r="U89" s="363">
        <f t="shared" si="43"/>
        <v>1333.3333333333333</v>
      </c>
      <c r="V89" s="41"/>
      <c r="W89" s="363">
        <v>0</v>
      </c>
      <c r="X89" s="363">
        <f t="shared" si="54"/>
        <v>2000.0000000000002</v>
      </c>
      <c r="Y89" s="41"/>
      <c r="Z89" s="363">
        <v>0</v>
      </c>
      <c r="AA89" s="363">
        <f t="shared" si="55"/>
        <v>-2000.0000000000002</v>
      </c>
      <c r="AB89" s="41"/>
      <c r="AC89" s="249">
        <v>0</v>
      </c>
      <c r="AD89" s="249">
        <f t="shared" si="56"/>
        <v>-2000.0000000000002</v>
      </c>
    </row>
    <row r="90" spans="3:32" s="37" customFormat="1" ht="12" x14ac:dyDescent="0.2">
      <c r="C90" s="200">
        <v>6550</v>
      </c>
      <c r="D90" s="37" t="s">
        <v>31</v>
      </c>
      <c r="E90" s="39">
        <f>'Exp Details'!K185</f>
        <v>0</v>
      </c>
      <c r="F90" s="39">
        <f>'Exp Details'!L185</f>
        <v>0</v>
      </c>
      <c r="G90" s="39">
        <f>'Exp Details'!M185</f>
        <v>0</v>
      </c>
      <c r="H90" s="39">
        <f>'Exp Details'!N185</f>
        <v>0</v>
      </c>
      <c r="I90" s="39">
        <f>'Exp Details'!O185</f>
        <v>0</v>
      </c>
      <c r="J90" s="39">
        <f>'Exp Details'!P185</f>
        <v>0</v>
      </c>
      <c r="K90" s="39">
        <f>'Exp Details'!Q185</f>
        <v>0</v>
      </c>
      <c r="L90" s="39">
        <f>'Exp Details'!R185</f>
        <v>0</v>
      </c>
      <c r="M90" s="39">
        <f>'Exp Details'!S185</f>
        <v>0</v>
      </c>
      <c r="N90" s="39">
        <f>'Exp Details'!T185</f>
        <v>0</v>
      </c>
      <c r="O90" s="39">
        <f>'Exp Details'!U185</f>
        <v>0</v>
      </c>
      <c r="P90" s="39">
        <f>'Exp Details'!V185</f>
        <v>0</v>
      </c>
      <c r="Q90" s="36"/>
      <c r="R90" s="41"/>
      <c r="S90" s="355">
        <f>SUM(E90:Q90)</f>
        <v>0</v>
      </c>
      <c r="T90" s="41"/>
      <c r="U90" s="363">
        <f t="shared" si="43"/>
        <v>0</v>
      </c>
      <c r="V90" s="41"/>
      <c r="W90" s="363">
        <v>0</v>
      </c>
      <c r="X90" s="363">
        <f t="shared" si="54"/>
        <v>0</v>
      </c>
      <c r="Y90" s="41"/>
      <c r="Z90" s="363">
        <v>0</v>
      </c>
      <c r="AA90" s="363">
        <f t="shared" si="55"/>
        <v>0</v>
      </c>
      <c r="AB90" s="41"/>
      <c r="AC90" s="249">
        <v>0</v>
      </c>
      <c r="AD90" s="249">
        <f t="shared" si="56"/>
        <v>0</v>
      </c>
    </row>
    <row r="91" spans="3:32" s="37" customFormat="1" ht="12" x14ac:dyDescent="0.2">
      <c r="C91" s="207">
        <v>6568</v>
      </c>
      <c r="D91" s="37" t="s">
        <v>186</v>
      </c>
      <c r="E91" s="39">
        <f>'Exp Details'!K193</f>
        <v>0</v>
      </c>
      <c r="F91" s="39">
        <f>'Exp Details'!L193</f>
        <v>0</v>
      </c>
      <c r="G91" s="39">
        <f>'Exp Details'!M193</f>
        <v>0</v>
      </c>
      <c r="H91" s="39">
        <f>'Exp Details'!N193</f>
        <v>0</v>
      </c>
      <c r="I91" s="39">
        <f>'Exp Details'!O193</f>
        <v>0</v>
      </c>
      <c r="J91" s="39">
        <f>'Exp Details'!P193</f>
        <v>0</v>
      </c>
      <c r="K91" s="39">
        <f>'Exp Details'!Q193</f>
        <v>0</v>
      </c>
      <c r="L91" s="39">
        <f>'Exp Details'!R193</f>
        <v>0</v>
      </c>
      <c r="M91" s="39">
        <f>'Exp Details'!S193</f>
        <v>0</v>
      </c>
      <c r="N91" s="39">
        <f>'Exp Details'!T193</f>
        <v>0</v>
      </c>
      <c r="O91" s="39">
        <f>'Exp Details'!U193</f>
        <v>0</v>
      </c>
      <c r="P91" s="39">
        <f>'Exp Details'!V193</f>
        <v>0</v>
      </c>
      <c r="Q91" s="36"/>
      <c r="R91" s="41"/>
      <c r="S91" s="355">
        <f>SUM(E91:Q91)</f>
        <v>0</v>
      </c>
      <c r="T91" s="41"/>
      <c r="U91" s="363">
        <f t="shared" si="43"/>
        <v>0</v>
      </c>
      <c r="V91" s="41"/>
      <c r="W91" s="363">
        <v>10797.299999999997</v>
      </c>
      <c r="X91" s="363">
        <f t="shared" si="54"/>
        <v>-10797.299999999997</v>
      </c>
      <c r="Y91" s="41"/>
      <c r="Z91" s="363">
        <v>23997.75</v>
      </c>
      <c r="AA91" s="363">
        <f t="shared" si="55"/>
        <v>23997.75</v>
      </c>
      <c r="AB91" s="41"/>
      <c r="AC91" s="249">
        <v>0</v>
      </c>
      <c r="AD91" s="249">
        <f t="shared" si="56"/>
        <v>0</v>
      </c>
    </row>
    <row r="92" spans="3:32" s="37" customFormat="1" ht="12" x14ac:dyDescent="0.2">
      <c r="C92" s="200">
        <v>6569</v>
      </c>
      <c r="D92" s="37" t="s">
        <v>32</v>
      </c>
      <c r="E92" s="39">
        <f>'Exp Details'!K204</f>
        <v>0</v>
      </c>
      <c r="F92" s="39">
        <f>'Exp Details'!L204</f>
        <v>0</v>
      </c>
      <c r="G92" s="39">
        <f>'Exp Details'!M204</f>
        <v>0</v>
      </c>
      <c r="H92" s="39">
        <f>'Exp Details'!N204</f>
        <v>131250</v>
      </c>
      <c r="I92" s="39">
        <f>'Exp Details'!O204</f>
        <v>118250</v>
      </c>
      <c r="J92" s="39">
        <f>'Exp Details'!P204</f>
        <v>-10000</v>
      </c>
      <c r="K92" s="39">
        <f>'Exp Details'!Q204</f>
        <v>0</v>
      </c>
      <c r="L92" s="39">
        <f>'Exp Details'!R204</f>
        <v>0</v>
      </c>
      <c r="M92" s="39">
        <f>'Exp Details'!S204</f>
        <v>151500</v>
      </c>
      <c r="N92" s="39">
        <f>'Exp Details'!T204</f>
        <v>138500</v>
      </c>
      <c r="O92" s="39">
        <f>'Exp Details'!U204</f>
        <v>-10000</v>
      </c>
      <c r="P92" s="39">
        <f>'Exp Details'!V204</f>
        <v>0</v>
      </c>
      <c r="Q92" s="36"/>
      <c r="R92" s="41"/>
      <c r="S92" s="355">
        <f>SUM(E92:Q92)</f>
        <v>519500</v>
      </c>
      <c r="T92" s="41"/>
      <c r="U92" s="363">
        <f t="shared" si="43"/>
        <v>239500</v>
      </c>
      <c r="V92" s="41"/>
      <c r="W92" s="363">
        <v>163620</v>
      </c>
      <c r="X92" s="363">
        <f t="shared" si="54"/>
        <v>355880</v>
      </c>
      <c r="Y92" s="41"/>
      <c r="Z92" s="363">
        <v>230400</v>
      </c>
      <c r="AA92" s="363">
        <f t="shared" si="55"/>
        <v>-289100</v>
      </c>
      <c r="AB92" s="41"/>
      <c r="AC92" s="249">
        <v>0</v>
      </c>
      <c r="AD92" s="249">
        <f t="shared" si="56"/>
        <v>-519500</v>
      </c>
    </row>
    <row r="93" spans="3:32" s="37" customFormat="1" ht="12" x14ac:dyDescent="0.2">
      <c r="C93" s="200">
        <v>6580</v>
      </c>
      <c r="D93" s="37" t="s">
        <v>33</v>
      </c>
      <c r="E93" s="39">
        <f>'Exp Details'!K212</f>
        <v>0</v>
      </c>
      <c r="F93" s="39">
        <f>'Exp Details'!L212</f>
        <v>0</v>
      </c>
      <c r="G93" s="39">
        <f>'Exp Details'!M212</f>
        <v>0</v>
      </c>
      <c r="H93" s="39">
        <f>'Exp Details'!N212</f>
        <v>0</v>
      </c>
      <c r="I93" s="39">
        <f>'Exp Details'!O212</f>
        <v>0</v>
      </c>
      <c r="J93" s="39">
        <f>'Exp Details'!P212</f>
        <v>0</v>
      </c>
      <c r="K93" s="39">
        <f>'Exp Details'!Q212</f>
        <v>0</v>
      </c>
      <c r="L93" s="39">
        <f>'Exp Details'!R212</f>
        <v>0</v>
      </c>
      <c r="M93" s="39">
        <f>'Exp Details'!S212</f>
        <v>0</v>
      </c>
      <c r="N93" s="39">
        <f>'Exp Details'!T212</f>
        <v>0</v>
      </c>
      <c r="O93" s="39">
        <f>'Exp Details'!U212</f>
        <v>0</v>
      </c>
      <c r="P93" s="39">
        <f>'Exp Details'!V212</f>
        <v>0</v>
      </c>
      <c r="Q93" s="36"/>
      <c r="R93" s="41"/>
      <c r="S93" s="355">
        <f>SUM(E93:Q93)</f>
        <v>0</v>
      </c>
      <c r="T93" s="41"/>
      <c r="U93" s="363">
        <f t="shared" si="43"/>
        <v>0</v>
      </c>
      <c r="V93" s="41"/>
      <c r="W93" s="363">
        <v>0</v>
      </c>
      <c r="X93" s="363">
        <f t="shared" si="54"/>
        <v>0</v>
      </c>
      <c r="Y93" s="41"/>
      <c r="Z93" s="363">
        <v>2500</v>
      </c>
      <c r="AA93" s="363">
        <f t="shared" si="55"/>
        <v>2500</v>
      </c>
      <c r="AB93" s="41"/>
      <c r="AC93" s="249">
        <v>0</v>
      </c>
      <c r="AD93" s="249">
        <f t="shared" si="56"/>
        <v>0</v>
      </c>
    </row>
    <row r="94" spans="3:32" s="37" customFormat="1" ht="12" x14ac:dyDescent="0.2">
      <c r="C94" s="38"/>
      <c r="E94" s="50">
        <f t="shared" ref="E94:O94" si="57">SUBTOTAL(9,E82:E93)</f>
        <v>495</v>
      </c>
      <c r="F94" s="50">
        <f t="shared" si="57"/>
        <v>4295.0000000000009</v>
      </c>
      <c r="G94" s="50">
        <f t="shared" si="57"/>
        <v>495</v>
      </c>
      <c r="H94" s="50">
        <f t="shared" si="57"/>
        <v>131745</v>
      </c>
      <c r="I94" s="50">
        <f t="shared" si="57"/>
        <v>118745</v>
      </c>
      <c r="J94" s="50">
        <f t="shared" si="57"/>
        <v>-9505</v>
      </c>
      <c r="K94" s="50">
        <f t="shared" si="57"/>
        <v>495</v>
      </c>
      <c r="L94" s="50">
        <f t="shared" si="57"/>
        <v>495</v>
      </c>
      <c r="M94" s="50">
        <f t="shared" si="57"/>
        <v>151995</v>
      </c>
      <c r="N94" s="50">
        <f t="shared" si="57"/>
        <v>138995</v>
      </c>
      <c r="O94" s="50">
        <f t="shared" si="57"/>
        <v>-9505</v>
      </c>
      <c r="P94" s="50">
        <f t="shared" ref="P94" si="58">SUBTOTAL(9,P82:P93)</f>
        <v>495</v>
      </c>
      <c r="Q94" s="51"/>
      <c r="R94" s="41"/>
      <c r="S94" s="356">
        <f t="shared" ref="S94:AA94" si="59">SUBTOTAL(9,S82:S93)</f>
        <v>529240</v>
      </c>
      <c r="T94" s="41"/>
      <c r="U94" s="364">
        <f t="shared" si="43"/>
        <v>247260</v>
      </c>
      <c r="V94" s="41"/>
      <c r="W94" s="364">
        <v>176517.3</v>
      </c>
      <c r="X94" s="364">
        <f t="shared" ref="X94" si="60">SUBTOTAL(9,X82:X93)</f>
        <v>352722.7</v>
      </c>
      <c r="Y94" s="41"/>
      <c r="Z94" s="364">
        <v>258997.75</v>
      </c>
      <c r="AA94" s="364">
        <f t="shared" si="59"/>
        <v>-270242.25</v>
      </c>
      <c r="AB94" s="41"/>
      <c r="AC94" s="251">
        <f t="shared" ref="AC94:AD94" si="61">SUBTOTAL(9,AC82:AC93)</f>
        <v>0</v>
      </c>
      <c r="AD94" s="251">
        <f t="shared" si="61"/>
        <v>-529240</v>
      </c>
    </row>
    <row r="95" spans="3:32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/>
      <c r="R95" s="41"/>
      <c r="S95" s="355"/>
      <c r="T95" s="41"/>
      <c r="U95" s="363">
        <f t="shared" si="43"/>
        <v>0</v>
      </c>
      <c r="V95" s="41"/>
      <c r="W95" s="363"/>
      <c r="X95" s="363"/>
      <c r="Y95" s="41"/>
      <c r="Z95" s="363"/>
      <c r="AA95" s="363"/>
      <c r="AB95" s="41"/>
      <c r="AC95" s="249"/>
      <c r="AD95" s="249"/>
    </row>
    <row r="96" spans="3:32" s="37" customFormat="1" ht="12" x14ac:dyDescent="0.2">
      <c r="C96" s="200">
        <v>6610</v>
      </c>
      <c r="D96" s="37" t="s">
        <v>34</v>
      </c>
      <c r="E96" s="39">
        <f>'Exp Details'!K224</f>
        <v>500</v>
      </c>
      <c r="F96" s="39">
        <f>'Exp Details'!L224</f>
        <v>500</v>
      </c>
      <c r="G96" s="39">
        <f>'Exp Details'!M224</f>
        <v>500</v>
      </c>
      <c r="H96" s="39">
        <f>'Exp Details'!N224</f>
        <v>884</v>
      </c>
      <c r="I96" s="39">
        <f>'Exp Details'!O224</f>
        <v>500</v>
      </c>
      <c r="J96" s="39">
        <f>'Exp Details'!P224</f>
        <v>500</v>
      </c>
      <c r="K96" s="39">
        <f>'Exp Details'!Q224</f>
        <v>500</v>
      </c>
      <c r="L96" s="39">
        <f>'Exp Details'!R224</f>
        <v>500</v>
      </c>
      <c r="M96" s="39">
        <f>'Exp Details'!S224</f>
        <v>500</v>
      </c>
      <c r="N96" s="39">
        <f>'Exp Details'!T224</f>
        <v>500</v>
      </c>
      <c r="O96" s="39">
        <f>'Exp Details'!U224</f>
        <v>500</v>
      </c>
      <c r="P96" s="39">
        <f>'Exp Details'!V224</f>
        <v>500</v>
      </c>
      <c r="Q96" s="36"/>
      <c r="R96" s="41"/>
      <c r="S96" s="355">
        <f t="shared" ref="S96:S102" si="62">SUM(E96:Q96)</f>
        <v>6384</v>
      </c>
      <c r="T96" s="41"/>
      <c r="U96" s="363">
        <f t="shared" si="43"/>
        <v>4384</v>
      </c>
      <c r="V96" s="41"/>
      <c r="W96" s="363">
        <v>2291.8199999999997</v>
      </c>
      <c r="X96" s="363">
        <f t="shared" ref="X96:X102" si="63">S96-W96</f>
        <v>4092.1800000000003</v>
      </c>
      <c r="Y96" s="41"/>
      <c r="Z96" s="363">
        <v>2225.0000000000005</v>
      </c>
      <c r="AA96" s="363">
        <f t="shared" ref="AA96:AA102" si="64">Z96-S96</f>
        <v>-4159</v>
      </c>
      <c r="AB96" s="41"/>
      <c r="AC96" s="249">
        <v>0</v>
      </c>
      <c r="AD96" s="249">
        <f t="shared" ref="AD96:AD102" si="65">AC96-S96</f>
        <v>-6384</v>
      </c>
    </row>
    <row r="97" spans="3:30" s="37" customFormat="1" ht="12" x14ac:dyDescent="0.2">
      <c r="C97" s="200">
        <v>6612</v>
      </c>
      <c r="D97" s="37" t="s">
        <v>35</v>
      </c>
      <c r="E97" s="39">
        <f>'Exp Details'!K233</f>
        <v>0</v>
      </c>
      <c r="F97" s="39">
        <f>'Exp Details'!L233</f>
        <v>0</v>
      </c>
      <c r="G97" s="39">
        <f>'Exp Details'!M233</f>
        <v>0</v>
      </c>
      <c r="H97" s="39">
        <f>'Exp Details'!N233</f>
        <v>0</v>
      </c>
      <c r="I97" s="39">
        <f>'Exp Details'!O233</f>
        <v>0</v>
      </c>
      <c r="J97" s="39">
        <f>'Exp Details'!P233</f>
        <v>0</v>
      </c>
      <c r="K97" s="39">
        <f>'Exp Details'!Q233</f>
        <v>0</v>
      </c>
      <c r="L97" s="39">
        <f>'Exp Details'!R233</f>
        <v>0</v>
      </c>
      <c r="M97" s="39">
        <f>'Exp Details'!S233</f>
        <v>0</v>
      </c>
      <c r="N97" s="39">
        <f>'Exp Details'!T233</f>
        <v>0</v>
      </c>
      <c r="O97" s="39">
        <f>'Exp Details'!U233</f>
        <v>0</v>
      </c>
      <c r="P97" s="39">
        <f>'Exp Details'!V233</f>
        <v>0</v>
      </c>
      <c r="Q97" s="36"/>
      <c r="R97" s="41"/>
      <c r="S97" s="355">
        <f t="shared" si="62"/>
        <v>0</v>
      </c>
      <c r="T97" s="41"/>
      <c r="U97" s="363">
        <f t="shared" si="43"/>
        <v>0</v>
      </c>
      <c r="V97" s="41"/>
      <c r="W97" s="363">
        <v>0</v>
      </c>
      <c r="X97" s="363">
        <f t="shared" si="63"/>
        <v>0</v>
      </c>
      <c r="Y97" s="41"/>
      <c r="Z97" s="363">
        <v>0</v>
      </c>
      <c r="AA97" s="363">
        <f t="shared" si="64"/>
        <v>0</v>
      </c>
      <c r="AB97" s="41"/>
      <c r="AC97" s="249">
        <v>0</v>
      </c>
      <c r="AD97" s="249">
        <f t="shared" si="65"/>
        <v>0</v>
      </c>
    </row>
    <row r="98" spans="3:30" s="37" customFormat="1" ht="12" x14ac:dyDescent="0.2">
      <c r="C98" s="200">
        <v>6622</v>
      </c>
      <c r="D98" s="37" t="s">
        <v>36</v>
      </c>
      <c r="E98" s="39">
        <f>'Exp Details'!K239</f>
        <v>800</v>
      </c>
      <c r="F98" s="39">
        <f>'Exp Details'!L239</f>
        <v>800</v>
      </c>
      <c r="G98" s="39">
        <f>'Exp Details'!M239</f>
        <v>800</v>
      </c>
      <c r="H98" s="39">
        <f>'Exp Details'!N239</f>
        <v>800</v>
      </c>
      <c r="I98" s="39">
        <f>'Exp Details'!O239</f>
        <v>800</v>
      </c>
      <c r="J98" s="39">
        <f>'Exp Details'!P239</f>
        <v>800</v>
      </c>
      <c r="K98" s="39">
        <f>'Exp Details'!Q239</f>
        <v>800</v>
      </c>
      <c r="L98" s="39">
        <f>'Exp Details'!R239</f>
        <v>800</v>
      </c>
      <c r="M98" s="39">
        <f>'Exp Details'!S239</f>
        <v>800</v>
      </c>
      <c r="N98" s="39">
        <f>'Exp Details'!T239</f>
        <v>800</v>
      </c>
      <c r="O98" s="39">
        <f>'Exp Details'!U239</f>
        <v>800</v>
      </c>
      <c r="P98" s="39">
        <f>'Exp Details'!V239</f>
        <v>800</v>
      </c>
      <c r="Q98" s="36"/>
      <c r="R98" s="41"/>
      <c r="S98" s="355">
        <f t="shared" si="62"/>
        <v>9600</v>
      </c>
      <c r="T98" s="41"/>
      <c r="U98" s="363">
        <f t="shared" si="43"/>
        <v>6400</v>
      </c>
      <c r="V98" s="41"/>
      <c r="W98" s="363">
        <v>1200</v>
      </c>
      <c r="X98" s="363">
        <f t="shared" si="63"/>
        <v>8400</v>
      </c>
      <c r="Y98" s="41"/>
      <c r="Z98" s="363">
        <v>1200</v>
      </c>
      <c r="AA98" s="363">
        <f t="shared" si="64"/>
        <v>-8400</v>
      </c>
      <c r="AB98" s="41"/>
      <c r="AC98" s="249">
        <v>0</v>
      </c>
      <c r="AD98" s="249">
        <f t="shared" si="65"/>
        <v>-9600</v>
      </c>
    </row>
    <row r="99" spans="3:30" s="37" customFormat="1" ht="12" x14ac:dyDescent="0.2">
      <c r="C99" s="200">
        <v>6641</v>
      </c>
      <c r="D99" s="37" t="s">
        <v>37</v>
      </c>
      <c r="E99" s="39">
        <f>'Exp Details'!K252</f>
        <v>0</v>
      </c>
      <c r="F99" s="39">
        <f>'Exp Details'!L252</f>
        <v>0</v>
      </c>
      <c r="G99" s="39">
        <f>'Exp Details'!M252</f>
        <v>0</v>
      </c>
      <c r="H99" s="39">
        <f>'Exp Details'!N252</f>
        <v>23750</v>
      </c>
      <c r="I99" s="39">
        <f>'Exp Details'!O252</f>
        <v>6750</v>
      </c>
      <c r="J99" s="39">
        <f>'Exp Details'!P252</f>
        <v>0</v>
      </c>
      <c r="K99" s="39">
        <f>'Exp Details'!Q252</f>
        <v>0</v>
      </c>
      <c r="L99" s="39">
        <f>'Exp Details'!R252</f>
        <v>0</v>
      </c>
      <c r="M99" s="39">
        <f>'Exp Details'!S252</f>
        <v>0</v>
      </c>
      <c r="N99" s="39">
        <f>'Exp Details'!T252</f>
        <v>8775</v>
      </c>
      <c r="O99" s="39">
        <f>'Exp Details'!U252</f>
        <v>8775</v>
      </c>
      <c r="P99" s="39">
        <f>'Exp Details'!V252</f>
        <v>0</v>
      </c>
      <c r="Q99" s="36"/>
      <c r="R99" s="41"/>
      <c r="S99" s="355">
        <f>SUM(E99:Q99)</f>
        <v>48050</v>
      </c>
      <c r="T99" s="41"/>
      <c r="U99" s="363">
        <f t="shared" si="43"/>
        <v>30500</v>
      </c>
      <c r="V99" s="41"/>
      <c r="W99" s="363">
        <v>12220.000000000002</v>
      </c>
      <c r="X99" s="363">
        <f t="shared" si="63"/>
        <v>35830</v>
      </c>
      <c r="Y99" s="41"/>
      <c r="Z99" s="363">
        <v>23900.000000000004</v>
      </c>
      <c r="AA99" s="363">
        <f t="shared" si="64"/>
        <v>-24149.999999999996</v>
      </c>
      <c r="AB99" s="41"/>
      <c r="AC99" s="249">
        <v>0</v>
      </c>
      <c r="AD99" s="249">
        <f t="shared" si="65"/>
        <v>-48050</v>
      </c>
    </row>
    <row r="100" spans="3:30" s="37" customFormat="1" ht="12" x14ac:dyDescent="0.2">
      <c r="C100" s="200">
        <v>6642</v>
      </c>
      <c r="D100" s="37" t="s">
        <v>38</v>
      </c>
      <c r="E100" s="39">
        <f>'Exp Details'!K261</f>
        <v>0</v>
      </c>
      <c r="F100" s="39">
        <f>'Exp Details'!L261</f>
        <v>0</v>
      </c>
      <c r="G100" s="39">
        <f>'Exp Details'!M261</f>
        <v>0</v>
      </c>
      <c r="H100" s="39">
        <f>'Exp Details'!N261</f>
        <v>13500</v>
      </c>
      <c r="I100" s="39">
        <f>'Exp Details'!O261</f>
        <v>13500</v>
      </c>
      <c r="J100" s="39">
        <f>'Exp Details'!P261</f>
        <v>0</v>
      </c>
      <c r="K100" s="39">
        <f>'Exp Details'!Q261</f>
        <v>0</v>
      </c>
      <c r="L100" s="39">
        <f>'Exp Details'!R261</f>
        <v>0</v>
      </c>
      <c r="M100" s="39">
        <f>'Exp Details'!S261</f>
        <v>0</v>
      </c>
      <c r="N100" s="39">
        <f>'Exp Details'!T261</f>
        <v>18225</v>
      </c>
      <c r="O100" s="39">
        <f>'Exp Details'!U261</f>
        <v>18225</v>
      </c>
      <c r="P100" s="39">
        <f>'Exp Details'!V261</f>
        <v>0</v>
      </c>
      <c r="Q100" s="36"/>
      <c r="R100" s="41"/>
      <c r="S100" s="355">
        <f t="shared" si="62"/>
        <v>63450</v>
      </c>
      <c r="T100" s="41"/>
      <c r="U100" s="363">
        <f t="shared" si="43"/>
        <v>27000</v>
      </c>
      <c r="V100" s="41"/>
      <c r="W100" s="363">
        <v>7022.7000000000016</v>
      </c>
      <c r="X100" s="363">
        <f t="shared" si="63"/>
        <v>56427.299999999996</v>
      </c>
      <c r="Y100" s="41"/>
      <c r="Z100" s="363">
        <v>4202.25</v>
      </c>
      <c r="AA100" s="363">
        <f t="shared" si="64"/>
        <v>-59247.75</v>
      </c>
      <c r="AB100" s="41"/>
      <c r="AC100" s="249">
        <v>0</v>
      </c>
      <c r="AD100" s="249">
        <f t="shared" si="65"/>
        <v>-63450</v>
      </c>
    </row>
    <row r="101" spans="3:30" s="37" customFormat="1" ht="12" x14ac:dyDescent="0.2">
      <c r="C101" s="200">
        <v>6651</v>
      </c>
      <c r="D101" s="37" t="s">
        <v>39</v>
      </c>
      <c r="E101" s="39">
        <f>'Exp Details'!K270</f>
        <v>0</v>
      </c>
      <c r="F101" s="39">
        <f>'Exp Details'!L270</f>
        <v>0</v>
      </c>
      <c r="G101" s="39">
        <f>'Exp Details'!M270</f>
        <v>0</v>
      </c>
      <c r="H101" s="39">
        <f>'Exp Details'!N270</f>
        <v>0</v>
      </c>
      <c r="I101" s="39">
        <f>'Exp Details'!O270</f>
        <v>0</v>
      </c>
      <c r="J101" s="39">
        <f>'Exp Details'!P270</f>
        <v>0</v>
      </c>
      <c r="K101" s="39">
        <f>'Exp Details'!Q270</f>
        <v>0</v>
      </c>
      <c r="L101" s="39">
        <f>'Exp Details'!R270</f>
        <v>0</v>
      </c>
      <c r="M101" s="39">
        <f>'Exp Details'!S270</f>
        <v>0</v>
      </c>
      <c r="N101" s="39">
        <f>'Exp Details'!T270</f>
        <v>0</v>
      </c>
      <c r="O101" s="39">
        <f>'Exp Details'!U270</f>
        <v>0</v>
      </c>
      <c r="P101" s="39">
        <f>'Exp Details'!V270</f>
        <v>0</v>
      </c>
      <c r="Q101" s="36"/>
      <c r="R101" s="41"/>
      <c r="S101" s="355">
        <f t="shared" si="62"/>
        <v>0</v>
      </c>
      <c r="T101" s="41"/>
      <c r="U101" s="363">
        <f t="shared" si="43"/>
        <v>0</v>
      </c>
      <c r="V101" s="41"/>
      <c r="W101" s="363">
        <v>0</v>
      </c>
      <c r="X101" s="363">
        <f t="shared" si="63"/>
        <v>0</v>
      </c>
      <c r="Y101" s="41"/>
      <c r="Z101" s="363">
        <v>0</v>
      </c>
      <c r="AA101" s="363">
        <f t="shared" si="64"/>
        <v>0</v>
      </c>
      <c r="AB101" s="41"/>
      <c r="AC101" s="249">
        <v>0</v>
      </c>
      <c r="AD101" s="249">
        <f t="shared" si="65"/>
        <v>0</v>
      </c>
    </row>
    <row r="102" spans="3:30" s="37" customFormat="1" ht="12" x14ac:dyDescent="0.2">
      <c r="C102" s="200">
        <v>6652</v>
      </c>
      <c r="D102" s="37" t="s">
        <v>40</v>
      </c>
      <c r="E102" s="39">
        <f>'Exp Details'!K279</f>
        <v>0</v>
      </c>
      <c r="F102" s="39">
        <f>'Exp Details'!L279</f>
        <v>0</v>
      </c>
      <c r="G102" s="39">
        <f>'Exp Details'!M279</f>
        <v>0</v>
      </c>
      <c r="H102" s="39">
        <f>'Exp Details'!N279</f>
        <v>0</v>
      </c>
      <c r="I102" s="39">
        <f>'Exp Details'!O279</f>
        <v>0</v>
      </c>
      <c r="J102" s="39">
        <f>'Exp Details'!P279</f>
        <v>0</v>
      </c>
      <c r="K102" s="39">
        <f>'Exp Details'!Q279</f>
        <v>0</v>
      </c>
      <c r="L102" s="39">
        <f>'Exp Details'!R279</f>
        <v>0</v>
      </c>
      <c r="M102" s="39">
        <f>'Exp Details'!S279</f>
        <v>0</v>
      </c>
      <c r="N102" s="39">
        <f>'Exp Details'!T279</f>
        <v>0</v>
      </c>
      <c r="O102" s="39">
        <f>'Exp Details'!U279</f>
        <v>0</v>
      </c>
      <c r="P102" s="39">
        <f>'Exp Details'!V279</f>
        <v>0</v>
      </c>
      <c r="Q102" s="36"/>
      <c r="R102" s="41"/>
      <c r="S102" s="355">
        <f t="shared" si="62"/>
        <v>0</v>
      </c>
      <c r="T102" s="41"/>
      <c r="U102" s="363">
        <f t="shared" si="43"/>
        <v>0</v>
      </c>
      <c r="V102" s="41"/>
      <c r="W102" s="363">
        <v>0</v>
      </c>
      <c r="X102" s="363">
        <f t="shared" si="63"/>
        <v>0</v>
      </c>
      <c r="Y102" s="41"/>
      <c r="Z102" s="363">
        <v>0</v>
      </c>
      <c r="AA102" s="363">
        <f t="shared" si="64"/>
        <v>0</v>
      </c>
      <c r="AB102" s="41"/>
      <c r="AC102" s="249">
        <v>0</v>
      </c>
      <c r="AD102" s="249">
        <f t="shared" si="65"/>
        <v>0</v>
      </c>
    </row>
    <row r="103" spans="3:30" s="37" customFormat="1" ht="12" x14ac:dyDescent="0.2">
      <c r="C103" s="38"/>
      <c r="E103" s="50">
        <f t="shared" ref="E103:O103" si="66">SUBTOTAL(9,E96:E102)</f>
        <v>1300</v>
      </c>
      <c r="F103" s="50">
        <f t="shared" si="66"/>
        <v>1300</v>
      </c>
      <c r="G103" s="50">
        <f t="shared" si="66"/>
        <v>1300</v>
      </c>
      <c r="H103" s="50">
        <f t="shared" si="66"/>
        <v>38934</v>
      </c>
      <c r="I103" s="50">
        <f t="shared" si="66"/>
        <v>21550</v>
      </c>
      <c r="J103" s="50">
        <f t="shared" si="66"/>
        <v>1300</v>
      </c>
      <c r="K103" s="50">
        <f t="shared" si="66"/>
        <v>1300</v>
      </c>
      <c r="L103" s="50">
        <f t="shared" si="66"/>
        <v>1300</v>
      </c>
      <c r="M103" s="50">
        <f t="shared" si="66"/>
        <v>1300</v>
      </c>
      <c r="N103" s="50">
        <f t="shared" si="66"/>
        <v>28300</v>
      </c>
      <c r="O103" s="50">
        <f t="shared" si="66"/>
        <v>28300</v>
      </c>
      <c r="P103" s="50">
        <f t="shared" ref="P103" si="67">SUBTOTAL(9,P96:P102)</f>
        <v>1300</v>
      </c>
      <c r="Q103" s="51"/>
      <c r="R103" s="41"/>
      <c r="S103" s="356">
        <f t="shared" ref="S103:AA103" si="68">SUBTOTAL(9,S96:S102)</f>
        <v>127484</v>
      </c>
      <c r="T103" s="41"/>
      <c r="U103" s="364">
        <f t="shared" si="43"/>
        <v>68284</v>
      </c>
      <c r="V103" s="41"/>
      <c r="W103" s="364">
        <v>22734.520000000004</v>
      </c>
      <c r="X103" s="364">
        <f t="shared" ref="X103" si="69">SUBTOTAL(9,X96:X102)</f>
        <v>104749.48</v>
      </c>
      <c r="Y103" s="41"/>
      <c r="Z103" s="364">
        <v>31527.250000000004</v>
      </c>
      <c r="AA103" s="364">
        <f t="shared" si="68"/>
        <v>-95956.75</v>
      </c>
      <c r="AB103" s="41"/>
      <c r="AC103" s="251">
        <f t="shared" ref="AC103:AD103" si="70">SUBTOTAL(9,AC96:AC102)</f>
        <v>0</v>
      </c>
      <c r="AD103" s="251">
        <f t="shared" si="70"/>
        <v>-127484</v>
      </c>
    </row>
    <row r="104" spans="3:30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/>
      <c r="R104" s="41"/>
      <c r="S104" s="355"/>
      <c r="T104" s="41"/>
      <c r="U104" s="363">
        <f t="shared" si="43"/>
        <v>0</v>
      </c>
      <c r="V104" s="41"/>
      <c r="W104" s="363"/>
      <c r="X104" s="363"/>
      <c r="Y104" s="41"/>
      <c r="Z104" s="363"/>
      <c r="AA104" s="363"/>
      <c r="AB104" s="41"/>
      <c r="AC104" s="249"/>
      <c r="AD104" s="249"/>
    </row>
    <row r="105" spans="3:30" s="37" customFormat="1" ht="12" x14ac:dyDescent="0.2">
      <c r="C105" s="200">
        <v>6734</v>
      </c>
      <c r="D105" s="37" t="s">
        <v>41</v>
      </c>
      <c r="E105" s="39">
        <f>'Exp Details'!K289</f>
        <v>0</v>
      </c>
      <c r="F105" s="39">
        <f>'Exp Details'!L289</f>
        <v>0</v>
      </c>
      <c r="G105" s="39">
        <f>'Exp Details'!M289</f>
        <v>0</v>
      </c>
      <c r="H105" s="39">
        <f>'Exp Details'!N289</f>
        <v>0</v>
      </c>
      <c r="I105" s="39">
        <f>'Exp Details'!O289</f>
        <v>0</v>
      </c>
      <c r="J105" s="39">
        <f>'Exp Details'!P289</f>
        <v>0</v>
      </c>
      <c r="K105" s="39">
        <f>'Exp Details'!Q289</f>
        <v>0</v>
      </c>
      <c r="L105" s="39">
        <f>'Exp Details'!R289</f>
        <v>0</v>
      </c>
      <c r="M105" s="39">
        <f>'Exp Details'!S289</f>
        <v>0</v>
      </c>
      <c r="N105" s="39">
        <f>'Exp Details'!T289</f>
        <v>0</v>
      </c>
      <c r="O105" s="39">
        <f>'Exp Details'!U289</f>
        <v>0</v>
      </c>
      <c r="P105" s="39">
        <f>'Exp Details'!V289</f>
        <v>0</v>
      </c>
      <c r="Q105" s="36"/>
      <c r="R105" s="41"/>
      <c r="S105" s="355">
        <f t="shared" ref="S105" si="71">SUM(E105:Q105)</f>
        <v>0</v>
      </c>
      <c r="T105" s="41"/>
      <c r="U105" s="363">
        <f t="shared" si="43"/>
        <v>0</v>
      </c>
      <c r="V105" s="41"/>
      <c r="W105" s="363">
        <v>0</v>
      </c>
      <c r="X105" s="363">
        <f t="shared" ref="X105" si="72">S105-W105</f>
        <v>0</v>
      </c>
      <c r="Y105" s="41"/>
      <c r="Z105" s="363">
        <v>0</v>
      </c>
      <c r="AA105" s="363">
        <f>Z105-S105</f>
        <v>0</v>
      </c>
      <c r="AB105" s="41"/>
      <c r="AC105" s="249">
        <v>0</v>
      </c>
      <c r="AD105" s="249">
        <f>AC105-S105</f>
        <v>0</v>
      </c>
    </row>
    <row r="106" spans="3:30" s="37" customFormat="1" ht="12" x14ac:dyDescent="0.2">
      <c r="C106" s="38"/>
      <c r="E106" s="50">
        <f t="shared" ref="E106:O106" si="73">SUBTOTAL(9,E105)</f>
        <v>0</v>
      </c>
      <c r="F106" s="50">
        <f t="shared" si="73"/>
        <v>0</v>
      </c>
      <c r="G106" s="50">
        <f t="shared" si="73"/>
        <v>0</v>
      </c>
      <c r="H106" s="50">
        <f t="shared" si="73"/>
        <v>0</v>
      </c>
      <c r="I106" s="50">
        <f t="shared" si="73"/>
        <v>0</v>
      </c>
      <c r="J106" s="50">
        <f t="shared" si="73"/>
        <v>0</v>
      </c>
      <c r="K106" s="50">
        <f t="shared" si="73"/>
        <v>0</v>
      </c>
      <c r="L106" s="50">
        <f t="shared" si="73"/>
        <v>0</v>
      </c>
      <c r="M106" s="50">
        <f t="shared" si="73"/>
        <v>0</v>
      </c>
      <c r="N106" s="50">
        <f t="shared" si="73"/>
        <v>0</v>
      </c>
      <c r="O106" s="50">
        <f t="shared" si="73"/>
        <v>0</v>
      </c>
      <c r="P106" s="50">
        <f t="shared" ref="P106" si="74">SUBTOTAL(9,P105)</f>
        <v>0</v>
      </c>
      <c r="Q106" s="51"/>
      <c r="R106" s="41"/>
      <c r="S106" s="356">
        <f t="shared" ref="S106:AA106" si="75">SUBTOTAL(9,S105)</f>
        <v>0</v>
      </c>
      <c r="T106" s="41"/>
      <c r="U106" s="364">
        <f t="shared" si="43"/>
        <v>0</v>
      </c>
      <c r="V106" s="41"/>
      <c r="W106" s="364">
        <v>0</v>
      </c>
      <c r="X106" s="364">
        <f t="shared" ref="X106" si="76">SUBTOTAL(9,X105)</f>
        <v>0</v>
      </c>
      <c r="Y106" s="41"/>
      <c r="Z106" s="364">
        <v>0</v>
      </c>
      <c r="AA106" s="364">
        <f t="shared" si="75"/>
        <v>0</v>
      </c>
      <c r="AB106" s="41"/>
      <c r="AC106" s="251">
        <f t="shared" ref="AC106:AD106" si="77">SUBTOTAL(9,AC105)</f>
        <v>0</v>
      </c>
      <c r="AD106" s="251">
        <f t="shared" si="77"/>
        <v>0</v>
      </c>
    </row>
    <row r="107" spans="3:30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/>
      <c r="R107" s="41"/>
      <c r="S107" s="355"/>
      <c r="T107" s="41"/>
      <c r="U107" s="363">
        <f t="shared" si="43"/>
        <v>0</v>
      </c>
      <c r="V107" s="41"/>
      <c r="W107" s="363"/>
      <c r="X107" s="363"/>
      <c r="Y107" s="41"/>
      <c r="Z107" s="363"/>
      <c r="AA107" s="363"/>
      <c r="AB107" s="41"/>
      <c r="AC107" s="249"/>
      <c r="AD107" s="249"/>
    </row>
    <row r="108" spans="3:30" s="37" customFormat="1" ht="12" x14ac:dyDescent="0.2">
      <c r="C108" s="200">
        <v>6810</v>
      </c>
      <c r="D108" s="37" t="s">
        <v>42</v>
      </c>
      <c r="E108" s="39">
        <f>'Exp Details'!K299</f>
        <v>190</v>
      </c>
      <c r="F108" s="39">
        <f>'Exp Details'!L299</f>
        <v>70</v>
      </c>
      <c r="G108" s="39">
        <f>'Exp Details'!M299</f>
        <v>1270</v>
      </c>
      <c r="H108" s="39">
        <f>'Exp Details'!N299</f>
        <v>10</v>
      </c>
      <c r="I108" s="39">
        <f>'Exp Details'!O299</f>
        <v>10</v>
      </c>
      <c r="J108" s="39">
        <f>'Exp Details'!P299</f>
        <v>70</v>
      </c>
      <c r="K108" s="39">
        <f>'Exp Details'!Q299</f>
        <v>70</v>
      </c>
      <c r="L108" s="39">
        <f>'Exp Details'!R299</f>
        <v>100</v>
      </c>
      <c r="M108" s="39">
        <f>'Exp Details'!S299</f>
        <v>317</v>
      </c>
      <c r="N108" s="39">
        <f>'Exp Details'!T299</f>
        <v>10</v>
      </c>
      <c r="O108" s="39">
        <f>'Exp Details'!U299</f>
        <v>10</v>
      </c>
      <c r="P108" s="39">
        <f>'Exp Details'!V299</f>
        <v>10</v>
      </c>
      <c r="Q108" s="36"/>
      <c r="R108" s="41"/>
      <c r="S108" s="355">
        <f t="shared" ref="S108" si="78">SUM(E108:Q108)</f>
        <v>2137</v>
      </c>
      <c r="T108" s="41"/>
      <c r="U108" s="363">
        <f t="shared" si="43"/>
        <v>1790</v>
      </c>
      <c r="V108" s="41"/>
      <c r="W108" s="363">
        <v>30522.999999999996</v>
      </c>
      <c r="X108" s="363">
        <f t="shared" ref="X108" si="79">S108-W108</f>
        <v>-28385.999999999996</v>
      </c>
      <c r="Y108" s="41"/>
      <c r="Z108" s="363">
        <v>718.00000000000011</v>
      </c>
      <c r="AA108" s="363">
        <f>Z108-S108</f>
        <v>-1419</v>
      </c>
      <c r="AB108" s="41"/>
      <c r="AC108" s="249">
        <v>0</v>
      </c>
      <c r="AD108" s="249">
        <f>AC108-S108</f>
        <v>-2137</v>
      </c>
    </row>
    <row r="109" spans="3:30" s="37" customFormat="1" ht="12" x14ac:dyDescent="0.2">
      <c r="C109" s="38"/>
      <c r="E109" s="50">
        <f t="shared" ref="E109:O109" si="80">SUBTOTAL(9,E108)</f>
        <v>190</v>
      </c>
      <c r="F109" s="50">
        <f t="shared" si="80"/>
        <v>70</v>
      </c>
      <c r="G109" s="50">
        <f t="shared" si="80"/>
        <v>1270</v>
      </c>
      <c r="H109" s="50">
        <f t="shared" si="80"/>
        <v>10</v>
      </c>
      <c r="I109" s="50">
        <f t="shared" si="80"/>
        <v>10</v>
      </c>
      <c r="J109" s="50">
        <f t="shared" si="80"/>
        <v>70</v>
      </c>
      <c r="K109" s="50">
        <f t="shared" si="80"/>
        <v>70</v>
      </c>
      <c r="L109" s="50">
        <f t="shared" si="80"/>
        <v>100</v>
      </c>
      <c r="M109" s="50">
        <f t="shared" si="80"/>
        <v>317</v>
      </c>
      <c r="N109" s="50">
        <f t="shared" si="80"/>
        <v>10</v>
      </c>
      <c r="O109" s="50">
        <f t="shared" si="80"/>
        <v>10</v>
      </c>
      <c r="P109" s="50">
        <f t="shared" ref="P109" si="81">SUBTOTAL(9,P108)</f>
        <v>10</v>
      </c>
      <c r="Q109" s="51"/>
      <c r="R109" s="41"/>
      <c r="S109" s="356">
        <f t="shared" ref="S109" si="82">SUBTOTAL(9,S108)</f>
        <v>2137</v>
      </c>
      <c r="T109" s="41"/>
      <c r="U109" s="364">
        <f t="shared" si="43"/>
        <v>1790</v>
      </c>
      <c r="V109" s="41"/>
      <c r="W109" s="364">
        <v>30522.999999999996</v>
      </c>
      <c r="X109" s="364">
        <f t="shared" ref="X109" si="83">SUBTOTAL(9,X108)</f>
        <v>-28385.999999999996</v>
      </c>
      <c r="Y109" s="41"/>
      <c r="Z109" s="364">
        <v>718.00000000000011</v>
      </c>
      <c r="AA109" s="364">
        <f t="shared" ref="AA109" si="84">SUBTOTAL(9,AA108)</f>
        <v>-1419</v>
      </c>
      <c r="AB109" s="41"/>
      <c r="AC109" s="251">
        <f t="shared" ref="AC109:AD109" si="85">SUBTOTAL(9,AC108)</f>
        <v>0</v>
      </c>
      <c r="AD109" s="251">
        <f t="shared" si="85"/>
        <v>-2137</v>
      </c>
    </row>
    <row r="110" spans="3:30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52"/>
      <c r="R110" s="48"/>
      <c r="S110" s="357"/>
      <c r="T110" s="48"/>
      <c r="U110" s="367">
        <f t="shared" si="43"/>
        <v>0</v>
      </c>
      <c r="V110" s="48"/>
      <c r="W110" s="367"/>
      <c r="X110" s="367"/>
      <c r="Y110" s="48"/>
      <c r="Z110" s="367"/>
      <c r="AA110" s="367"/>
      <c r="AB110" s="48"/>
      <c r="AC110" s="255"/>
      <c r="AD110" s="255"/>
    </row>
    <row r="111" spans="3:30" s="37" customFormat="1" ht="12" x14ac:dyDescent="0.2">
      <c r="C111" s="200">
        <v>7306</v>
      </c>
      <c r="D111" s="37" t="s">
        <v>43</v>
      </c>
      <c r="E111" s="39">
        <f>'Exp Details'!K309</f>
        <v>0</v>
      </c>
      <c r="F111" s="39">
        <f>'Exp Details'!L309</f>
        <v>0</v>
      </c>
      <c r="G111" s="39">
        <f>'Exp Details'!M309</f>
        <v>0</v>
      </c>
      <c r="H111" s="39">
        <f>'Exp Details'!N309</f>
        <v>0</v>
      </c>
      <c r="I111" s="39">
        <f>'Exp Details'!O309</f>
        <v>0</v>
      </c>
      <c r="J111" s="39">
        <f>'Exp Details'!P309</f>
        <v>0</v>
      </c>
      <c r="K111" s="39">
        <f>'Exp Details'!Q309</f>
        <v>0</v>
      </c>
      <c r="L111" s="39">
        <f>'Exp Details'!R309</f>
        <v>0</v>
      </c>
      <c r="M111" s="39">
        <f>'Exp Details'!S309</f>
        <v>0</v>
      </c>
      <c r="N111" s="39">
        <f>'Exp Details'!T309</f>
        <v>0</v>
      </c>
      <c r="O111" s="39">
        <f>'Exp Details'!U309</f>
        <v>0</v>
      </c>
      <c r="P111" s="39">
        <f>'Exp Details'!V309</f>
        <v>0</v>
      </c>
      <c r="Q111" s="36"/>
      <c r="R111" s="41"/>
      <c r="S111" s="357">
        <f t="shared" ref="S111:S112" si="86">SUM(E111:Q111)</f>
        <v>0</v>
      </c>
      <c r="T111" s="41"/>
      <c r="U111" s="365">
        <f t="shared" si="43"/>
        <v>0</v>
      </c>
      <c r="V111" s="41"/>
      <c r="W111" s="365">
        <v>0</v>
      </c>
      <c r="X111" s="363">
        <f t="shared" ref="X111:X112" si="87">S111-W111</f>
        <v>0</v>
      </c>
      <c r="Y111" s="41"/>
      <c r="Z111" s="365">
        <v>0</v>
      </c>
      <c r="AA111" s="363">
        <f t="shared" ref="AA111:AA112" si="88">Z111-S111</f>
        <v>0</v>
      </c>
      <c r="AB111" s="41"/>
      <c r="AC111" s="252">
        <v>0</v>
      </c>
      <c r="AD111" s="249">
        <f>AC111-S111</f>
        <v>0</v>
      </c>
    </row>
    <row r="112" spans="3:30" s="37" customFormat="1" ht="12" x14ac:dyDescent="0.2">
      <c r="C112" s="38">
        <v>7901</v>
      </c>
      <c r="D112" s="37" t="s">
        <v>177</v>
      </c>
      <c r="E112" s="39">
        <f>'Exp Details'!K318</f>
        <v>0</v>
      </c>
      <c r="F112" s="39">
        <f>'Exp Details'!L318</f>
        <v>0</v>
      </c>
      <c r="G112" s="39">
        <f>'Exp Details'!M318</f>
        <v>0</v>
      </c>
      <c r="H112" s="39">
        <f>'Exp Details'!N318</f>
        <v>0</v>
      </c>
      <c r="I112" s="39">
        <f>'Exp Details'!O318</f>
        <v>0</v>
      </c>
      <c r="J112" s="39">
        <f>'Exp Details'!P318</f>
        <v>0</v>
      </c>
      <c r="K112" s="39">
        <f>'Exp Details'!Q318</f>
        <v>0</v>
      </c>
      <c r="L112" s="39">
        <f>'Exp Details'!R318</f>
        <v>0</v>
      </c>
      <c r="M112" s="39">
        <f>'Exp Details'!S318</f>
        <v>0</v>
      </c>
      <c r="N112" s="39">
        <f>'Exp Details'!T318</f>
        <v>0</v>
      </c>
      <c r="O112" s="39">
        <f>'Exp Details'!U318</f>
        <v>0</v>
      </c>
      <c r="P112" s="39">
        <f>'Exp Details'!V318</f>
        <v>0</v>
      </c>
      <c r="Q112" s="36"/>
      <c r="R112" s="41"/>
      <c r="S112" s="357">
        <f t="shared" si="86"/>
        <v>0</v>
      </c>
      <c r="T112" s="41"/>
      <c r="U112" s="365">
        <f t="shared" si="43"/>
        <v>0</v>
      </c>
      <c r="V112" s="41"/>
      <c r="W112" s="365">
        <v>0</v>
      </c>
      <c r="X112" s="363">
        <f t="shared" si="87"/>
        <v>0</v>
      </c>
      <c r="Y112" s="41"/>
      <c r="Z112" s="365">
        <v>0</v>
      </c>
      <c r="AA112" s="363">
        <f t="shared" si="88"/>
        <v>0</v>
      </c>
      <c r="AB112" s="41"/>
      <c r="AC112" s="252">
        <v>0</v>
      </c>
      <c r="AD112" s="249">
        <f>AC112-S112</f>
        <v>0</v>
      </c>
    </row>
    <row r="113" spans="1:30" s="37" customFormat="1" ht="12" x14ac:dyDescent="0.2">
      <c r="C113" s="38"/>
      <c r="E113" s="50">
        <f t="shared" ref="E113:O113" si="89">SUBTOTAL(9,E111:E112)</f>
        <v>0</v>
      </c>
      <c r="F113" s="50">
        <f t="shared" si="89"/>
        <v>0</v>
      </c>
      <c r="G113" s="50">
        <f t="shared" si="89"/>
        <v>0</v>
      </c>
      <c r="H113" s="50">
        <f t="shared" si="89"/>
        <v>0</v>
      </c>
      <c r="I113" s="50">
        <f t="shared" si="89"/>
        <v>0</v>
      </c>
      <c r="J113" s="50">
        <f t="shared" si="89"/>
        <v>0</v>
      </c>
      <c r="K113" s="50">
        <f t="shared" si="89"/>
        <v>0</v>
      </c>
      <c r="L113" s="50">
        <f t="shared" si="89"/>
        <v>0</v>
      </c>
      <c r="M113" s="50">
        <f t="shared" si="89"/>
        <v>0</v>
      </c>
      <c r="N113" s="50">
        <f t="shared" si="89"/>
        <v>0</v>
      </c>
      <c r="O113" s="50">
        <f t="shared" si="89"/>
        <v>0</v>
      </c>
      <c r="P113" s="50">
        <f t="shared" ref="P113" si="90">SUBTOTAL(9,P111:P112)</f>
        <v>0</v>
      </c>
      <c r="Q113" s="51"/>
      <c r="R113" s="41"/>
      <c r="S113" s="356">
        <f>SUBTOTAL(9,S111:S112)</f>
        <v>0</v>
      </c>
      <c r="T113" s="41"/>
      <c r="U113" s="364">
        <f t="shared" si="43"/>
        <v>0</v>
      </c>
      <c r="V113" s="41"/>
      <c r="W113" s="364">
        <v>0</v>
      </c>
      <c r="X113" s="364">
        <f>SUBTOTAL(9,X111:X112)</f>
        <v>0</v>
      </c>
      <c r="Y113" s="41"/>
      <c r="Z113" s="364">
        <v>0</v>
      </c>
      <c r="AA113" s="364">
        <f>SUBTOTAL(9,AA111:AA112)</f>
        <v>0</v>
      </c>
      <c r="AB113" s="41"/>
      <c r="AC113" s="251">
        <f>SUBTOTAL(9,AC111:AC112)</f>
        <v>0</v>
      </c>
      <c r="AD113" s="251">
        <f>SUBTOTAL(9,AD111:AD112)</f>
        <v>0</v>
      </c>
    </row>
    <row r="114" spans="1:30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/>
      <c r="R114" s="41"/>
      <c r="S114" s="355"/>
      <c r="T114" s="41"/>
      <c r="U114" s="363">
        <f t="shared" si="43"/>
        <v>0</v>
      </c>
      <c r="V114" s="41"/>
      <c r="W114" s="363"/>
      <c r="X114" s="363"/>
      <c r="Y114" s="41"/>
      <c r="Z114" s="363"/>
      <c r="AA114" s="363"/>
      <c r="AB114" s="41"/>
      <c r="AC114" s="249"/>
      <c r="AD114" s="249"/>
    </row>
    <row r="115" spans="1:30" s="45" customFormat="1" ht="12" x14ac:dyDescent="0.2">
      <c r="A115" s="45" t="s">
        <v>107</v>
      </c>
      <c r="C115" s="46"/>
      <c r="E115" s="43">
        <f>SUBTOTAL(9,E30:E114)</f>
        <v>99979.193898541664</v>
      </c>
      <c r="F115" s="43">
        <f t="shared" ref="F115:P115" si="91">SUBTOTAL(9,F30:F114)</f>
        <v>50539.193898541664</v>
      </c>
      <c r="G115" s="43">
        <f t="shared" si="91"/>
        <v>52464.289398541674</v>
      </c>
      <c r="H115" s="43">
        <f t="shared" si="91"/>
        <v>219415.96889854167</v>
      </c>
      <c r="I115" s="43">
        <f t="shared" si="91"/>
        <v>186831.8143985417</v>
      </c>
      <c r="J115" s="43">
        <f t="shared" si="91"/>
        <v>38149.343898541672</v>
      </c>
      <c r="K115" s="43">
        <f t="shared" si="91"/>
        <v>50391.814398541683</v>
      </c>
      <c r="L115" s="43">
        <f t="shared" si="91"/>
        <v>49051.818898541678</v>
      </c>
      <c r="M115" s="43">
        <f t="shared" si="91"/>
        <v>202411.28939854167</v>
      </c>
      <c r="N115" s="43">
        <f t="shared" si="91"/>
        <v>213121.66439854167</v>
      </c>
      <c r="O115" s="43">
        <f t="shared" si="91"/>
        <v>65874.053898541664</v>
      </c>
      <c r="P115" s="43">
        <f t="shared" si="91"/>
        <v>50931.678898541679</v>
      </c>
      <c r="Q115" s="47"/>
      <c r="R115" s="48"/>
      <c r="S115" s="358">
        <f>SUBTOTAL(9,S30:S114)</f>
        <v>1279162.1242824998</v>
      </c>
      <c r="T115" s="48"/>
      <c r="U115" s="366">
        <f t="shared" si="43"/>
        <v>746823.43768833345</v>
      </c>
      <c r="V115" s="48"/>
      <c r="W115" s="366">
        <v>657119.46167773439</v>
      </c>
      <c r="X115" s="366">
        <f>SUBTOTAL(9,X30:X114)</f>
        <v>619442.66260476562</v>
      </c>
      <c r="Y115" s="48"/>
      <c r="Z115" s="366">
        <v>855067.36543275008</v>
      </c>
      <c r="AA115" s="366">
        <f>SUBTOTAL(9,AA30:AA114)</f>
        <v>-424094.75884974992</v>
      </c>
      <c r="AB115" s="48"/>
      <c r="AC115" s="253">
        <f>SUBTOTAL(9,AC30:AC114)</f>
        <v>0</v>
      </c>
      <c r="AD115" s="253">
        <f>SUBTOTAL(9,AD30:AD114)</f>
        <v>-1279162.1242824998</v>
      </c>
    </row>
    <row r="116" spans="1:30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355"/>
      <c r="T116" s="41"/>
      <c r="U116" s="363">
        <f t="shared" si="43"/>
        <v>0</v>
      </c>
      <c r="V116" s="41"/>
      <c r="W116" s="363"/>
      <c r="X116" s="363"/>
      <c r="Y116" s="41"/>
      <c r="Z116" s="363"/>
      <c r="AA116" s="363"/>
      <c r="AB116" s="41"/>
      <c r="AC116" s="249"/>
      <c r="AD116" s="249"/>
    </row>
    <row r="117" spans="1:30" s="45" customFormat="1" ht="12.75" thickBot="1" x14ac:dyDescent="0.25">
      <c r="A117" s="45" t="s">
        <v>108</v>
      </c>
      <c r="C117" s="46"/>
      <c r="E117" s="182">
        <f>E27-E115</f>
        <v>13420.806101458322</v>
      </c>
      <c r="F117" s="182">
        <f t="shared" ref="F117:P117" si="92">F27-F115</f>
        <v>62860.806101458322</v>
      </c>
      <c r="G117" s="182">
        <f t="shared" si="92"/>
        <v>60935.710601458311</v>
      </c>
      <c r="H117" s="182">
        <f t="shared" si="92"/>
        <v>-106015.96889854169</v>
      </c>
      <c r="I117" s="182">
        <f t="shared" si="92"/>
        <v>-73431.814398541712</v>
      </c>
      <c r="J117" s="182">
        <f t="shared" si="92"/>
        <v>75250.656101458313</v>
      </c>
      <c r="K117" s="182">
        <f t="shared" si="92"/>
        <v>63008.185601458303</v>
      </c>
      <c r="L117" s="182">
        <f t="shared" si="92"/>
        <v>64348.181101458307</v>
      </c>
      <c r="M117" s="182">
        <f>M27-M115</f>
        <v>-88627.289398541689</v>
      </c>
      <c r="N117" s="182">
        <f t="shared" si="92"/>
        <v>-99721.664398541689</v>
      </c>
      <c r="O117" s="182">
        <f t="shared" si="92"/>
        <v>47525.946101458321</v>
      </c>
      <c r="P117" s="182">
        <f t="shared" si="92"/>
        <v>62463.785101458328</v>
      </c>
      <c r="Q117" s="191"/>
      <c r="R117" s="192"/>
      <c r="S117" s="359">
        <f>S27-S115</f>
        <v>82017.339717499912</v>
      </c>
      <c r="T117" s="48"/>
      <c r="U117" s="368">
        <f t="shared" si="43"/>
        <v>160376.56231166649</v>
      </c>
      <c r="V117" s="192"/>
      <c r="W117" s="368">
        <v>23740.158322265605</v>
      </c>
      <c r="X117" s="368">
        <f>X27+X115</f>
        <v>1299762.5066047655</v>
      </c>
      <c r="Y117" s="48"/>
      <c r="Z117" s="368">
        <v>28649.134567249916</v>
      </c>
      <c r="AA117" s="368">
        <f>AA27+AA115</f>
        <v>53368.205150249996</v>
      </c>
      <c r="AB117" s="48"/>
      <c r="AC117" s="256">
        <f>AC27-AC115</f>
        <v>0</v>
      </c>
      <c r="AD117" s="256">
        <f>AD27+AD115</f>
        <v>82017.339717499912</v>
      </c>
    </row>
    <row r="118" spans="1:30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355"/>
      <c r="T118" s="41"/>
      <c r="U118" s="363"/>
      <c r="V118" s="41"/>
      <c r="W118" s="363"/>
      <c r="X118" s="363"/>
      <c r="Y118" s="41"/>
      <c r="Z118" s="363"/>
      <c r="AA118" s="363"/>
      <c r="AB118" s="41"/>
      <c r="AC118" s="39"/>
      <c r="AD118" s="39"/>
    </row>
    <row r="119" spans="1:30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355"/>
      <c r="T119" s="41"/>
      <c r="U119" s="363"/>
      <c r="V119" s="41"/>
      <c r="W119" s="363"/>
      <c r="X119" s="363"/>
      <c r="Y119" s="41"/>
      <c r="Z119" s="363"/>
      <c r="AA119" s="363"/>
      <c r="AB119" s="41"/>
      <c r="AC119" s="39"/>
      <c r="AD119" s="39"/>
    </row>
    <row r="120" spans="1:30" s="37" customFormat="1" ht="12" x14ac:dyDescent="0.2">
      <c r="A120" s="53"/>
      <c r="B120" s="53"/>
      <c r="C120" s="54" t="s">
        <v>110</v>
      </c>
      <c r="D120" s="54"/>
      <c r="E120" s="39">
        <f>E117</f>
        <v>13420.806101458322</v>
      </c>
      <c r="F120" s="39">
        <f t="shared" ref="F120:P120" si="93">F117</f>
        <v>62860.806101458322</v>
      </c>
      <c r="G120" s="39">
        <f t="shared" si="93"/>
        <v>60935.710601458311</v>
      </c>
      <c r="H120" s="39">
        <f t="shared" si="93"/>
        <v>-106015.96889854169</v>
      </c>
      <c r="I120" s="39">
        <f t="shared" si="93"/>
        <v>-73431.814398541712</v>
      </c>
      <c r="J120" s="39">
        <f t="shared" si="93"/>
        <v>75250.656101458313</v>
      </c>
      <c r="K120" s="39">
        <f t="shared" si="93"/>
        <v>63008.185601458303</v>
      </c>
      <c r="L120" s="39">
        <f t="shared" si="93"/>
        <v>64348.181101458307</v>
      </c>
      <c r="M120" s="39">
        <f t="shared" si="93"/>
        <v>-88627.289398541689</v>
      </c>
      <c r="N120" s="39">
        <f t="shared" si="93"/>
        <v>-99721.664398541689</v>
      </c>
      <c r="O120" s="39">
        <f t="shared" si="93"/>
        <v>47525.946101458321</v>
      </c>
      <c r="P120" s="39">
        <f t="shared" si="93"/>
        <v>62463.785101458328</v>
      </c>
      <c r="Q120" s="44"/>
      <c r="R120" s="41"/>
      <c r="S120" s="355">
        <f t="shared" ref="S120:S136" si="94">SUM(E120:Q120)</f>
        <v>82017.339717499766</v>
      </c>
      <c r="T120" s="41"/>
      <c r="U120" s="363"/>
      <c r="V120" s="41"/>
      <c r="W120" s="363"/>
      <c r="X120" s="363"/>
      <c r="Y120" s="41"/>
      <c r="Z120" s="363"/>
      <c r="AA120" s="363"/>
      <c r="AB120" s="41"/>
      <c r="AC120" s="39"/>
      <c r="AD120" s="39"/>
    </row>
    <row r="121" spans="1:30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355"/>
      <c r="T121" s="41"/>
      <c r="U121" s="363"/>
      <c r="V121" s="41"/>
      <c r="W121" s="363"/>
      <c r="X121" s="363"/>
      <c r="Y121" s="41"/>
      <c r="Z121" s="363"/>
      <c r="AA121" s="363"/>
      <c r="AB121" s="41"/>
      <c r="AC121" s="39"/>
      <c r="AD121" s="39"/>
    </row>
    <row r="122" spans="1:30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95">F112</f>
        <v>0</v>
      </c>
      <c r="G122" s="39">
        <f t="shared" si="95"/>
        <v>0</v>
      </c>
      <c r="H122" s="39">
        <f t="shared" si="95"/>
        <v>0</v>
      </c>
      <c r="I122" s="39">
        <f t="shared" si="95"/>
        <v>0</v>
      </c>
      <c r="J122" s="39">
        <f t="shared" si="95"/>
        <v>0</v>
      </c>
      <c r="K122" s="39">
        <f t="shared" si="95"/>
        <v>0</v>
      </c>
      <c r="L122" s="39">
        <f t="shared" si="95"/>
        <v>0</v>
      </c>
      <c r="M122" s="39">
        <f t="shared" si="95"/>
        <v>0</v>
      </c>
      <c r="N122" s="39">
        <f t="shared" si="95"/>
        <v>0</v>
      </c>
      <c r="O122" s="39">
        <f t="shared" si="95"/>
        <v>0</v>
      </c>
      <c r="P122" s="39">
        <f t="shared" si="95"/>
        <v>0</v>
      </c>
      <c r="Q122" s="44"/>
      <c r="R122" s="41"/>
      <c r="S122" s="355">
        <f t="shared" si="94"/>
        <v>0</v>
      </c>
      <c r="T122" s="41"/>
      <c r="U122" s="363"/>
      <c r="V122" s="41"/>
      <c r="W122" s="363"/>
      <c r="X122" s="363"/>
      <c r="Y122" s="41"/>
      <c r="Z122" s="363"/>
      <c r="AA122" s="363"/>
      <c r="AB122" s="41"/>
      <c r="AC122" s="39"/>
      <c r="AD122" s="39"/>
    </row>
    <row r="123" spans="1:30" s="37" customFormat="1" ht="12" x14ac:dyDescent="0.2">
      <c r="A123" s="54"/>
      <c r="B123" s="54" t="s">
        <v>111</v>
      </c>
      <c r="C123" s="54"/>
      <c r="D123" s="55" t="s">
        <v>114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355">
        <f t="shared" si="94"/>
        <v>0</v>
      </c>
      <c r="T123" s="41"/>
      <c r="U123" s="363"/>
      <c r="V123" s="41"/>
      <c r="W123" s="363"/>
      <c r="X123" s="363"/>
      <c r="Y123" s="41"/>
      <c r="Z123" s="363"/>
      <c r="AA123" s="363"/>
      <c r="AB123" s="41"/>
      <c r="AC123" s="39"/>
      <c r="AD123" s="39"/>
    </row>
    <row r="124" spans="1:30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355">
        <f t="shared" si="94"/>
        <v>0</v>
      </c>
      <c r="T124" s="41"/>
      <c r="U124" s="363"/>
      <c r="V124" s="41"/>
      <c r="W124" s="363"/>
      <c r="X124" s="363"/>
      <c r="Y124" s="41"/>
      <c r="Z124" s="363"/>
      <c r="AA124" s="363"/>
      <c r="AB124" s="41"/>
      <c r="AC124" s="39"/>
      <c r="AD124" s="39"/>
    </row>
    <row r="125" spans="1:30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355">
        <f t="shared" si="94"/>
        <v>0</v>
      </c>
      <c r="T125" s="41"/>
      <c r="U125" s="363"/>
      <c r="V125" s="41"/>
      <c r="W125" s="363"/>
      <c r="X125" s="363"/>
      <c r="Y125" s="41"/>
      <c r="Z125" s="363"/>
      <c r="AA125" s="363"/>
      <c r="AB125" s="41"/>
      <c r="AC125" s="39"/>
      <c r="AD125" s="39"/>
    </row>
    <row r="126" spans="1:30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355">
        <f t="shared" si="94"/>
        <v>0</v>
      </c>
      <c r="T126" s="41"/>
      <c r="U126" s="363"/>
      <c r="V126" s="41"/>
      <c r="W126" s="363"/>
      <c r="X126" s="363"/>
      <c r="Y126" s="41"/>
      <c r="Z126" s="363"/>
      <c r="AA126" s="363"/>
      <c r="AB126" s="41"/>
      <c r="AC126" s="39"/>
      <c r="AD126" s="39"/>
    </row>
    <row r="127" spans="1:30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355">
        <f t="shared" si="94"/>
        <v>0</v>
      </c>
      <c r="T127" s="41"/>
      <c r="U127" s="363"/>
      <c r="V127" s="41"/>
      <c r="W127" s="363"/>
      <c r="X127" s="363"/>
      <c r="Y127" s="41"/>
      <c r="Z127" s="363"/>
      <c r="AA127" s="363"/>
      <c r="AB127" s="41"/>
      <c r="AC127" s="39"/>
      <c r="AD127" s="39"/>
    </row>
    <row r="128" spans="1:30" s="37" customFormat="1" ht="12" x14ac:dyDescent="0.2">
      <c r="A128" s="54"/>
      <c r="B128" s="54" t="s">
        <v>111</v>
      </c>
      <c r="C128" s="54"/>
      <c r="D128" s="55" t="s">
        <v>119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355">
        <f t="shared" si="94"/>
        <v>0</v>
      </c>
      <c r="T128" s="41"/>
      <c r="U128" s="363"/>
      <c r="V128" s="41"/>
      <c r="W128" s="363"/>
      <c r="X128" s="363"/>
      <c r="Y128" s="41"/>
      <c r="Z128" s="363"/>
      <c r="AA128" s="363"/>
      <c r="AB128" s="41"/>
      <c r="AC128" s="39"/>
      <c r="AD128" s="39"/>
    </row>
    <row r="129" spans="1:30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355">
        <f t="shared" si="94"/>
        <v>0</v>
      </c>
      <c r="T129" s="41"/>
      <c r="U129" s="363"/>
      <c r="V129" s="41"/>
      <c r="W129" s="363"/>
      <c r="X129" s="363"/>
      <c r="Y129" s="41"/>
      <c r="Z129" s="363"/>
      <c r="AA129" s="363"/>
      <c r="AB129" s="41"/>
      <c r="AC129" s="39"/>
      <c r="AD129" s="39"/>
    </row>
    <row r="130" spans="1:30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355">
        <f t="shared" si="94"/>
        <v>0</v>
      </c>
      <c r="T130" s="41"/>
      <c r="U130" s="363"/>
      <c r="V130" s="41"/>
      <c r="W130" s="363"/>
      <c r="X130" s="363"/>
      <c r="Y130" s="41"/>
      <c r="Z130" s="363"/>
      <c r="AA130" s="363"/>
      <c r="AB130" s="41"/>
      <c r="AC130" s="39"/>
      <c r="AD130" s="39"/>
    </row>
    <row r="131" spans="1:30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355"/>
      <c r="T131" s="41"/>
      <c r="U131" s="363"/>
      <c r="V131" s="41"/>
      <c r="W131" s="363"/>
      <c r="X131" s="363"/>
      <c r="Y131" s="41"/>
      <c r="Z131" s="363"/>
      <c r="AA131" s="363"/>
      <c r="AB131" s="41"/>
      <c r="AC131" s="39"/>
      <c r="AD131" s="39"/>
    </row>
    <row r="132" spans="1:30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355">
        <f t="shared" si="94"/>
        <v>0</v>
      </c>
      <c r="T132" s="41"/>
      <c r="U132" s="363"/>
      <c r="V132" s="41"/>
      <c r="W132" s="363"/>
      <c r="X132" s="363"/>
      <c r="Y132" s="41"/>
      <c r="Z132" s="363"/>
      <c r="AA132" s="363"/>
      <c r="AB132" s="41"/>
      <c r="AC132" s="39"/>
      <c r="AD132" s="39"/>
    </row>
    <row r="133" spans="1:30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355">
        <f t="shared" si="94"/>
        <v>0</v>
      </c>
      <c r="T133" s="41"/>
      <c r="U133" s="363"/>
      <c r="V133" s="41"/>
      <c r="W133" s="363"/>
      <c r="X133" s="363"/>
      <c r="Y133" s="41"/>
      <c r="Z133" s="363"/>
      <c r="AA133" s="363"/>
      <c r="AB133" s="41"/>
      <c r="AC133" s="39"/>
      <c r="AD133" s="39"/>
    </row>
    <row r="134" spans="1:30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355"/>
      <c r="T134" s="41"/>
      <c r="U134" s="363"/>
      <c r="V134" s="41"/>
      <c r="W134" s="363"/>
      <c r="X134" s="363"/>
      <c r="Y134" s="41"/>
      <c r="Z134" s="363"/>
      <c r="AA134" s="363"/>
      <c r="AB134" s="41"/>
      <c r="AC134" s="39"/>
      <c r="AD134" s="39"/>
    </row>
    <row r="135" spans="1:30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355">
        <f t="shared" si="94"/>
        <v>0</v>
      </c>
      <c r="T135" s="41"/>
      <c r="U135" s="363"/>
      <c r="V135" s="41"/>
      <c r="W135" s="363"/>
      <c r="X135" s="363"/>
      <c r="Y135" s="41"/>
      <c r="Z135" s="363"/>
      <c r="AA135" s="363"/>
      <c r="AB135" s="41"/>
      <c r="AC135" s="39"/>
      <c r="AD135" s="39"/>
    </row>
    <row r="136" spans="1:30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355">
        <f t="shared" si="94"/>
        <v>0</v>
      </c>
      <c r="T136" s="41"/>
      <c r="U136" s="363"/>
      <c r="V136" s="41"/>
      <c r="W136" s="363"/>
      <c r="X136" s="363"/>
      <c r="Y136" s="41"/>
      <c r="Z136" s="363"/>
      <c r="AA136" s="363"/>
      <c r="AB136" s="41"/>
      <c r="AC136" s="39"/>
      <c r="AD136" s="39"/>
    </row>
    <row r="137" spans="1:30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279"/>
      <c r="T137" s="41"/>
      <c r="U137" s="363"/>
      <c r="V137" s="41"/>
      <c r="W137" s="363"/>
      <c r="X137" s="363"/>
      <c r="Y137" s="41"/>
      <c r="Z137" s="363"/>
      <c r="AA137" s="363"/>
      <c r="AB137" s="41"/>
      <c r="AC137" s="39"/>
      <c r="AD137" s="39"/>
    </row>
    <row r="138" spans="1:30" s="37" customFormat="1" ht="12" x14ac:dyDescent="0.2">
      <c r="A138" s="54"/>
      <c r="B138" s="54" t="s">
        <v>126</v>
      </c>
      <c r="C138" s="54"/>
      <c r="D138" s="54"/>
      <c r="E138" s="39">
        <f>SUM(E120:E136)</f>
        <v>13420.806101458322</v>
      </c>
      <c r="F138" s="39">
        <f>SUM(F120:F136)</f>
        <v>62860.806101458322</v>
      </c>
      <c r="G138" s="39">
        <f t="shared" ref="G138:O138" si="96">SUM(G120:G136)</f>
        <v>60935.710601458311</v>
      </c>
      <c r="H138" s="39">
        <f t="shared" si="96"/>
        <v>-106015.96889854169</v>
      </c>
      <c r="I138" s="39">
        <f t="shared" si="96"/>
        <v>-73431.814398541712</v>
      </c>
      <c r="J138" s="39">
        <f t="shared" si="96"/>
        <v>75250.656101458313</v>
      </c>
      <c r="K138" s="39">
        <f t="shared" si="96"/>
        <v>63008.185601458303</v>
      </c>
      <c r="L138" s="39">
        <f t="shared" si="96"/>
        <v>64348.181101458307</v>
      </c>
      <c r="M138" s="39">
        <f t="shared" si="96"/>
        <v>-88627.289398541689</v>
      </c>
      <c r="N138" s="39">
        <f t="shared" si="96"/>
        <v>-99721.664398541689</v>
      </c>
      <c r="O138" s="39">
        <f t="shared" si="96"/>
        <v>47525.946101458321</v>
      </c>
      <c r="P138" s="39">
        <f>SUM(P120:P136)</f>
        <v>62463.785101458328</v>
      </c>
      <c r="Q138" s="39"/>
      <c r="R138" s="41"/>
      <c r="S138" s="279"/>
      <c r="T138" s="41"/>
      <c r="U138" s="363"/>
      <c r="V138" s="41"/>
      <c r="W138" s="363"/>
      <c r="X138" s="363"/>
      <c r="Y138" s="41"/>
      <c r="Z138" s="363"/>
      <c r="AA138" s="363"/>
      <c r="AB138" s="41"/>
      <c r="AC138" s="39"/>
      <c r="AD138" s="39"/>
    </row>
    <row r="139" spans="1:30" s="37" customFormat="1" ht="12" x14ac:dyDescent="0.2">
      <c r="A139" s="54"/>
      <c r="B139" s="54" t="s">
        <v>127</v>
      </c>
      <c r="C139" s="54"/>
      <c r="D139" s="54"/>
      <c r="E139" s="42">
        <v>0</v>
      </c>
      <c r="F139" s="42">
        <f>E141</f>
        <v>13420.806101458322</v>
      </c>
      <c r="G139" s="42">
        <f t="shared" ref="G139:P139" si="97">F141</f>
        <v>76281.612202916644</v>
      </c>
      <c r="H139" s="42">
        <f t="shared" si="97"/>
        <v>137217.32280437497</v>
      </c>
      <c r="I139" s="42">
        <f t="shared" si="97"/>
        <v>31201.353905833283</v>
      </c>
      <c r="J139" s="42">
        <f t="shared" si="97"/>
        <v>-42230.460492708429</v>
      </c>
      <c r="K139" s="42">
        <f t="shared" si="97"/>
        <v>33020.195608749884</v>
      </c>
      <c r="L139" s="42">
        <f t="shared" si="97"/>
        <v>96028.381210208187</v>
      </c>
      <c r="M139" s="42">
        <f t="shared" si="97"/>
        <v>160376.56231166649</v>
      </c>
      <c r="N139" s="42">
        <f t="shared" si="97"/>
        <v>71749.272913124805</v>
      </c>
      <c r="O139" s="42">
        <f t="shared" si="97"/>
        <v>-27972.391485416883</v>
      </c>
      <c r="P139" s="42">
        <f t="shared" si="97"/>
        <v>19553.554616041438</v>
      </c>
      <c r="Q139" s="39"/>
      <c r="R139" s="41"/>
      <c r="S139" s="279"/>
      <c r="T139" s="41"/>
      <c r="U139" s="363"/>
      <c r="V139" s="41"/>
      <c r="W139" s="363"/>
      <c r="X139" s="363"/>
      <c r="Y139" s="41"/>
      <c r="Z139" s="363"/>
      <c r="AA139" s="363"/>
      <c r="AB139" s="41"/>
      <c r="AC139" s="39"/>
      <c r="AD139" s="39"/>
    </row>
    <row r="140" spans="1:30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279"/>
      <c r="T140" s="41"/>
      <c r="U140" s="363"/>
      <c r="V140" s="41"/>
      <c r="W140" s="363"/>
      <c r="X140" s="363"/>
      <c r="Y140" s="41"/>
      <c r="Z140" s="363"/>
      <c r="AA140" s="363"/>
      <c r="AB140" s="41"/>
      <c r="AC140" s="39"/>
      <c r="AD140" s="39"/>
    </row>
    <row r="141" spans="1:30" s="37" customFormat="1" ht="12.75" thickBot="1" x14ac:dyDescent="0.25">
      <c r="A141" s="53"/>
      <c r="B141" s="53" t="s">
        <v>128</v>
      </c>
      <c r="C141" s="53"/>
      <c r="D141" s="53"/>
      <c r="E141" s="195">
        <f t="shared" ref="E141:O141" si="98">SUM(E138:E140)</f>
        <v>13420.806101458322</v>
      </c>
      <c r="F141" s="195">
        <f t="shared" si="98"/>
        <v>76281.612202916644</v>
      </c>
      <c r="G141" s="195">
        <f t="shared" si="98"/>
        <v>137217.32280437497</v>
      </c>
      <c r="H141" s="195">
        <f t="shared" si="98"/>
        <v>31201.353905833283</v>
      </c>
      <c r="I141" s="195">
        <f>SUM(I138:I140)</f>
        <v>-42230.460492708429</v>
      </c>
      <c r="J141" s="195">
        <f t="shared" si="98"/>
        <v>33020.195608749884</v>
      </c>
      <c r="K141" s="195">
        <f>SUM(K138:K140)</f>
        <v>96028.381210208187</v>
      </c>
      <c r="L141" s="195">
        <f t="shared" si="98"/>
        <v>160376.56231166649</v>
      </c>
      <c r="M141" s="195">
        <f t="shared" si="98"/>
        <v>71749.272913124805</v>
      </c>
      <c r="N141" s="195">
        <f t="shared" si="98"/>
        <v>-27972.391485416883</v>
      </c>
      <c r="O141" s="195">
        <f t="shared" si="98"/>
        <v>19553.554616041438</v>
      </c>
      <c r="P141" s="195">
        <f>SUM(P138:P140)</f>
        <v>82017.339717499766</v>
      </c>
      <c r="Q141" s="39"/>
      <c r="R141" s="41"/>
      <c r="S141" s="279"/>
      <c r="T141" s="41"/>
      <c r="U141" s="363"/>
      <c r="V141" s="41"/>
      <c r="W141" s="363"/>
      <c r="X141" s="363"/>
      <c r="Y141" s="41"/>
      <c r="Z141" s="363"/>
      <c r="AA141" s="363"/>
      <c r="AB141" s="41"/>
      <c r="AC141" s="39"/>
      <c r="AD141" s="39"/>
    </row>
    <row r="142" spans="1:30" s="37" customFormat="1" ht="12.75" thickTop="1" x14ac:dyDescent="0.2">
      <c r="B142" s="37" t="s">
        <v>546</v>
      </c>
      <c r="C142" s="38"/>
      <c r="E142" s="643">
        <f>$S$115*0.1</f>
        <v>127916.21242824999</v>
      </c>
      <c r="F142" s="643">
        <f t="shared" ref="F142:P142" si="99">$S$115*0.1</f>
        <v>127916.21242824999</v>
      </c>
      <c r="G142" s="643">
        <f t="shared" si="99"/>
        <v>127916.21242824999</v>
      </c>
      <c r="H142" s="643">
        <f t="shared" si="99"/>
        <v>127916.21242824999</v>
      </c>
      <c r="I142" s="643">
        <f t="shared" si="99"/>
        <v>127916.21242824999</v>
      </c>
      <c r="J142" s="643">
        <f t="shared" si="99"/>
        <v>127916.21242824999</v>
      </c>
      <c r="K142" s="643">
        <f t="shared" si="99"/>
        <v>127916.21242824999</v>
      </c>
      <c r="L142" s="643">
        <f t="shared" si="99"/>
        <v>127916.21242824999</v>
      </c>
      <c r="M142" s="643">
        <f t="shared" si="99"/>
        <v>127916.21242824999</v>
      </c>
      <c r="N142" s="643">
        <f t="shared" si="99"/>
        <v>127916.21242824999</v>
      </c>
      <c r="O142" s="643">
        <f t="shared" si="99"/>
        <v>127916.21242824999</v>
      </c>
      <c r="P142" s="643">
        <f t="shared" si="99"/>
        <v>127916.21242824999</v>
      </c>
      <c r="Q142" s="39"/>
      <c r="R142" s="41"/>
      <c r="S142" s="279"/>
      <c r="T142" s="41"/>
      <c r="U142" s="363"/>
      <c r="V142" s="41"/>
      <c r="W142" s="363"/>
      <c r="X142" s="363"/>
      <c r="Y142" s="41"/>
      <c r="Z142" s="363"/>
      <c r="AA142" s="363"/>
      <c r="AB142" s="41"/>
      <c r="AC142" s="39"/>
      <c r="AD142" s="39"/>
    </row>
    <row r="143" spans="1:30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279"/>
      <c r="T143" s="41"/>
      <c r="U143" s="363"/>
      <c r="V143" s="41"/>
      <c r="W143" s="363"/>
      <c r="X143" s="363"/>
      <c r="Y143" s="41"/>
      <c r="Z143" s="363"/>
      <c r="AA143" s="363"/>
      <c r="AB143" s="41"/>
      <c r="AC143" s="39"/>
      <c r="AD143" s="39"/>
    </row>
    <row r="144" spans="1:30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279"/>
      <c r="T144" s="41"/>
      <c r="U144" s="363"/>
      <c r="V144" s="41"/>
      <c r="W144" s="363"/>
      <c r="X144" s="363"/>
      <c r="Y144" s="41"/>
      <c r="Z144" s="363"/>
      <c r="AA144" s="363"/>
      <c r="AB144" s="41"/>
      <c r="AC144" s="39"/>
      <c r="AD144" s="39"/>
    </row>
    <row r="145" spans="3:30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279"/>
      <c r="T145" s="41"/>
      <c r="U145" s="363"/>
      <c r="V145" s="41"/>
      <c r="W145" s="363"/>
      <c r="X145" s="363"/>
      <c r="Y145" s="41"/>
      <c r="Z145" s="363"/>
      <c r="AA145" s="363"/>
      <c r="AB145" s="41"/>
      <c r="AC145" s="39"/>
      <c r="AD145" s="39"/>
    </row>
    <row r="146" spans="3:30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279"/>
      <c r="T146" s="41"/>
      <c r="U146" s="363"/>
      <c r="V146" s="41"/>
      <c r="W146" s="363"/>
      <c r="X146" s="363"/>
      <c r="Y146" s="41"/>
      <c r="Z146" s="363"/>
      <c r="AA146" s="363"/>
      <c r="AB146" s="41"/>
      <c r="AC146" s="39"/>
      <c r="AD146" s="39"/>
    </row>
    <row r="147" spans="3:30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279"/>
      <c r="T147" s="41"/>
      <c r="U147" s="363"/>
      <c r="V147" s="41"/>
      <c r="W147" s="363"/>
      <c r="X147" s="363"/>
      <c r="Y147" s="41"/>
      <c r="Z147" s="363"/>
      <c r="AA147" s="363"/>
      <c r="AB147" s="41"/>
      <c r="AC147" s="39"/>
      <c r="AD147" s="39"/>
    </row>
    <row r="148" spans="3:30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279"/>
      <c r="T148" s="41"/>
      <c r="U148" s="363"/>
      <c r="V148" s="41"/>
      <c r="W148" s="363"/>
      <c r="X148" s="363"/>
      <c r="Y148" s="41"/>
      <c r="Z148" s="363"/>
      <c r="AA148" s="363"/>
      <c r="AB148" s="41"/>
      <c r="AC148" s="39"/>
      <c r="AD148" s="39"/>
    </row>
    <row r="149" spans="3:30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279"/>
      <c r="T149" s="41"/>
      <c r="U149" s="363"/>
      <c r="V149" s="41"/>
      <c r="W149" s="363"/>
      <c r="X149" s="363"/>
      <c r="Y149" s="41"/>
      <c r="Z149" s="363"/>
      <c r="AA149" s="363"/>
      <c r="AB149" s="41"/>
      <c r="AC149" s="39"/>
      <c r="AD149" s="39"/>
    </row>
    <row r="150" spans="3:30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279"/>
      <c r="T150" s="41"/>
      <c r="U150" s="363"/>
      <c r="V150" s="41"/>
      <c r="W150" s="363"/>
      <c r="X150" s="363"/>
      <c r="Y150" s="41"/>
      <c r="Z150" s="363"/>
      <c r="AA150" s="363"/>
      <c r="AB150" s="41"/>
      <c r="AC150" s="39"/>
      <c r="AD150" s="39"/>
    </row>
    <row r="151" spans="3:30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279"/>
      <c r="T151" s="41"/>
      <c r="U151" s="363"/>
      <c r="V151" s="41"/>
      <c r="W151" s="363"/>
      <c r="X151" s="363"/>
      <c r="Y151" s="41"/>
      <c r="Z151" s="363"/>
      <c r="AA151" s="363"/>
      <c r="AB151" s="41"/>
      <c r="AC151" s="39"/>
      <c r="AD151" s="39"/>
    </row>
    <row r="152" spans="3:30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279"/>
      <c r="T152" s="41"/>
      <c r="U152" s="363"/>
      <c r="V152" s="41"/>
      <c r="W152" s="363"/>
      <c r="X152" s="363"/>
      <c r="Y152" s="41"/>
      <c r="Z152" s="363"/>
      <c r="AA152" s="363"/>
      <c r="AB152" s="41"/>
      <c r="AC152" s="39"/>
      <c r="AD152" s="39"/>
    </row>
    <row r="153" spans="3:30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279"/>
      <c r="T153" s="41"/>
      <c r="U153" s="363"/>
      <c r="V153" s="41"/>
      <c r="W153" s="363"/>
      <c r="X153" s="363"/>
      <c r="Y153" s="41"/>
      <c r="Z153" s="363"/>
      <c r="AA153" s="363"/>
      <c r="AB153" s="41"/>
      <c r="AC153" s="39"/>
      <c r="AD153" s="39"/>
    </row>
    <row r="154" spans="3:30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279"/>
      <c r="T154" s="41"/>
      <c r="U154" s="363"/>
      <c r="V154" s="41"/>
      <c r="W154" s="363"/>
      <c r="X154" s="363"/>
      <c r="Y154" s="41"/>
      <c r="Z154" s="363"/>
      <c r="AA154" s="363"/>
      <c r="AB154" s="41"/>
      <c r="AC154" s="39"/>
      <c r="AD154" s="39"/>
    </row>
    <row r="155" spans="3:30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279"/>
      <c r="T155" s="41"/>
      <c r="U155" s="363"/>
      <c r="V155" s="41"/>
      <c r="W155" s="363"/>
      <c r="X155" s="363"/>
      <c r="Y155" s="41"/>
      <c r="Z155" s="363"/>
      <c r="AA155" s="363"/>
      <c r="AB155" s="41"/>
      <c r="AC155" s="39"/>
      <c r="AD155" s="39"/>
    </row>
    <row r="156" spans="3:30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279"/>
      <c r="T156" s="41"/>
      <c r="U156" s="363"/>
      <c r="V156" s="41"/>
      <c r="W156" s="363"/>
      <c r="X156" s="363"/>
      <c r="Y156" s="41"/>
      <c r="Z156" s="363"/>
      <c r="AA156" s="363"/>
      <c r="AB156" s="41"/>
      <c r="AC156" s="39"/>
      <c r="AD156" s="39"/>
    </row>
    <row r="157" spans="3:30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279"/>
      <c r="T157" s="41"/>
      <c r="U157" s="363"/>
      <c r="V157" s="41"/>
      <c r="W157" s="363"/>
      <c r="X157" s="363"/>
      <c r="Y157" s="41"/>
      <c r="Z157" s="363"/>
      <c r="AA157" s="363"/>
      <c r="AB157" s="41"/>
      <c r="AC157" s="39"/>
      <c r="AD157" s="39"/>
    </row>
    <row r="158" spans="3:30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279"/>
      <c r="T158" s="41"/>
      <c r="U158" s="363"/>
      <c r="V158" s="41"/>
      <c r="W158" s="363"/>
      <c r="X158" s="363"/>
      <c r="Y158" s="41"/>
      <c r="Z158" s="363"/>
      <c r="AA158" s="363"/>
      <c r="AB158" s="41"/>
      <c r="AC158" s="39"/>
      <c r="AD158" s="39"/>
    </row>
    <row r="159" spans="3:30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279"/>
      <c r="T159" s="41"/>
      <c r="U159" s="363"/>
      <c r="V159" s="41"/>
      <c r="W159" s="363"/>
      <c r="X159" s="363"/>
      <c r="Y159" s="41"/>
      <c r="Z159" s="363"/>
      <c r="AA159" s="363"/>
      <c r="AB159" s="41"/>
      <c r="AC159" s="39"/>
      <c r="AD159" s="39"/>
    </row>
    <row r="160" spans="3:30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279"/>
      <c r="T160" s="41"/>
      <c r="U160" s="363"/>
      <c r="V160" s="41"/>
      <c r="W160" s="363"/>
      <c r="X160" s="363"/>
      <c r="Y160" s="41"/>
      <c r="Z160" s="363"/>
      <c r="AA160" s="363"/>
      <c r="AB160" s="41"/>
      <c r="AC160" s="39"/>
      <c r="AD160" s="39"/>
    </row>
    <row r="161" spans="3:30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279"/>
      <c r="T161" s="41"/>
      <c r="U161" s="363"/>
      <c r="V161" s="41"/>
      <c r="W161" s="363"/>
      <c r="X161" s="363"/>
      <c r="Y161" s="41"/>
      <c r="Z161" s="363"/>
      <c r="AA161" s="363"/>
      <c r="AB161" s="41"/>
      <c r="AC161" s="39"/>
      <c r="AD161" s="39"/>
    </row>
    <row r="162" spans="3:30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279"/>
      <c r="T162" s="41"/>
      <c r="U162" s="363"/>
      <c r="V162" s="41"/>
      <c r="W162" s="363"/>
      <c r="X162" s="363"/>
      <c r="Y162" s="41"/>
      <c r="Z162" s="363"/>
      <c r="AA162" s="363"/>
      <c r="AB162" s="41"/>
      <c r="AC162" s="39"/>
      <c r="AD162" s="39"/>
    </row>
    <row r="163" spans="3:30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279"/>
      <c r="T163" s="41"/>
      <c r="U163" s="363"/>
      <c r="V163" s="41"/>
      <c r="W163" s="363"/>
      <c r="X163" s="363"/>
      <c r="Y163" s="41"/>
      <c r="Z163" s="363"/>
      <c r="AA163" s="363"/>
      <c r="AB163" s="41"/>
      <c r="AC163" s="39"/>
      <c r="AD163" s="39"/>
    </row>
    <row r="164" spans="3:30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279"/>
      <c r="T164" s="41"/>
      <c r="U164" s="363"/>
      <c r="V164" s="41"/>
      <c r="W164" s="363"/>
      <c r="X164" s="363"/>
      <c r="Y164" s="41"/>
      <c r="Z164" s="363"/>
      <c r="AA164" s="363"/>
      <c r="AB164" s="41"/>
      <c r="AC164" s="39"/>
      <c r="AD164" s="39"/>
    </row>
    <row r="165" spans="3:30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279"/>
      <c r="T165" s="41"/>
      <c r="U165" s="363"/>
      <c r="V165" s="41"/>
      <c r="W165" s="363"/>
      <c r="X165" s="363"/>
      <c r="Y165" s="41"/>
      <c r="Z165" s="363"/>
      <c r="AA165" s="363"/>
      <c r="AB165" s="41"/>
      <c r="AC165" s="39"/>
      <c r="AD165" s="39"/>
    </row>
    <row r="166" spans="3:30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279"/>
      <c r="T166" s="41"/>
      <c r="U166" s="363"/>
      <c r="V166" s="41"/>
      <c r="W166" s="363"/>
      <c r="X166" s="363"/>
      <c r="Y166" s="41"/>
      <c r="Z166" s="363"/>
      <c r="AA166" s="363"/>
      <c r="AB166" s="41"/>
      <c r="AC166" s="39"/>
      <c r="AD166" s="39"/>
    </row>
    <row r="167" spans="3:30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279"/>
      <c r="T167" s="41"/>
      <c r="U167" s="363"/>
      <c r="V167" s="41"/>
      <c r="W167" s="363"/>
      <c r="X167" s="363"/>
      <c r="Y167" s="41"/>
      <c r="Z167" s="363"/>
      <c r="AA167" s="363"/>
      <c r="AB167" s="41"/>
      <c r="AC167" s="39"/>
      <c r="AD167" s="39"/>
    </row>
    <row r="168" spans="3:30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279"/>
      <c r="T168" s="41"/>
      <c r="U168" s="363"/>
      <c r="V168" s="41"/>
      <c r="W168" s="363"/>
      <c r="X168" s="363"/>
      <c r="Y168" s="41"/>
      <c r="Z168" s="363"/>
      <c r="AA168" s="363"/>
      <c r="AB168" s="41"/>
      <c r="AC168" s="39"/>
      <c r="AD168" s="39"/>
    </row>
    <row r="169" spans="3:30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279"/>
      <c r="T169" s="41"/>
      <c r="U169" s="363"/>
      <c r="V169" s="41"/>
      <c r="W169" s="363"/>
      <c r="X169" s="363"/>
      <c r="Y169" s="41"/>
      <c r="Z169" s="363"/>
      <c r="AA169" s="363"/>
      <c r="AB169" s="41"/>
      <c r="AC169" s="39"/>
      <c r="AD169" s="39"/>
    </row>
    <row r="170" spans="3:30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279"/>
      <c r="T170" s="41"/>
      <c r="U170" s="363"/>
      <c r="V170" s="41"/>
      <c r="W170" s="363"/>
      <c r="X170" s="363"/>
      <c r="Y170" s="41"/>
      <c r="Z170" s="363"/>
      <c r="AA170" s="363"/>
      <c r="AB170" s="41"/>
      <c r="AC170" s="39"/>
      <c r="AD170" s="39"/>
    </row>
    <row r="171" spans="3:30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279"/>
      <c r="T171" s="41"/>
      <c r="U171" s="363"/>
      <c r="V171" s="41"/>
      <c r="W171" s="363"/>
      <c r="X171" s="363"/>
      <c r="Y171" s="41"/>
      <c r="Z171" s="363"/>
      <c r="AA171" s="363"/>
      <c r="AB171" s="41"/>
      <c r="AC171" s="39"/>
      <c r="AD171" s="39"/>
    </row>
    <row r="172" spans="3:30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279"/>
      <c r="T172" s="41"/>
      <c r="U172" s="363"/>
      <c r="V172" s="41"/>
      <c r="W172" s="363"/>
      <c r="X172" s="363"/>
      <c r="Y172" s="41"/>
      <c r="Z172" s="363"/>
      <c r="AA172" s="363"/>
      <c r="AB172" s="41"/>
      <c r="AC172" s="39"/>
      <c r="AD172" s="39"/>
    </row>
    <row r="173" spans="3:30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279"/>
      <c r="T173" s="41"/>
      <c r="U173" s="363"/>
      <c r="V173" s="41"/>
      <c r="W173" s="363"/>
      <c r="X173" s="363"/>
      <c r="Y173" s="41"/>
      <c r="Z173" s="363"/>
      <c r="AA173" s="363"/>
      <c r="AB173" s="41"/>
      <c r="AC173" s="39"/>
      <c r="AD173" s="39"/>
    </row>
    <row r="174" spans="3:30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279"/>
      <c r="T174" s="41"/>
      <c r="U174" s="363"/>
      <c r="V174" s="41"/>
      <c r="W174" s="363"/>
      <c r="X174" s="363"/>
      <c r="Y174" s="41"/>
      <c r="Z174" s="363"/>
      <c r="AA174" s="363"/>
      <c r="AB174" s="41"/>
      <c r="AC174" s="39"/>
      <c r="AD174" s="39"/>
    </row>
    <row r="175" spans="3:30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279"/>
      <c r="T175" s="41"/>
      <c r="U175" s="363"/>
      <c r="V175" s="41"/>
      <c r="W175" s="363"/>
      <c r="X175" s="363"/>
      <c r="Y175" s="41"/>
      <c r="Z175" s="363"/>
      <c r="AA175" s="363"/>
      <c r="AB175" s="41"/>
      <c r="AC175" s="39"/>
      <c r="AD175" s="39"/>
    </row>
    <row r="176" spans="3:30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279"/>
      <c r="T176" s="41"/>
      <c r="U176" s="363"/>
      <c r="V176" s="41"/>
      <c r="W176" s="363"/>
      <c r="X176" s="363"/>
      <c r="Y176" s="41"/>
      <c r="Z176" s="363"/>
      <c r="AA176" s="363"/>
      <c r="AB176" s="41"/>
      <c r="AC176" s="39"/>
      <c r="AD176" s="39"/>
    </row>
    <row r="177" spans="3:30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279"/>
      <c r="T177" s="41"/>
      <c r="U177" s="363"/>
      <c r="V177" s="41"/>
      <c r="W177" s="363"/>
      <c r="X177" s="363"/>
      <c r="Y177" s="41"/>
      <c r="Z177" s="363"/>
      <c r="AA177" s="363"/>
      <c r="AB177" s="41"/>
      <c r="AC177" s="39"/>
      <c r="AD177" s="39"/>
    </row>
    <row r="178" spans="3:30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279"/>
      <c r="T178" s="41"/>
      <c r="U178" s="363"/>
      <c r="V178" s="41"/>
      <c r="W178" s="363"/>
      <c r="X178" s="363"/>
      <c r="Y178" s="41"/>
      <c r="Z178" s="363"/>
      <c r="AA178" s="363"/>
      <c r="AB178" s="41"/>
      <c r="AC178" s="39"/>
      <c r="AD178" s="39"/>
    </row>
    <row r="179" spans="3:30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279"/>
      <c r="T179" s="41"/>
      <c r="U179" s="363"/>
      <c r="V179" s="41"/>
      <c r="W179" s="363"/>
      <c r="X179" s="363"/>
      <c r="Y179" s="41"/>
      <c r="Z179" s="363"/>
      <c r="AA179" s="363"/>
      <c r="AB179" s="41"/>
      <c r="AC179" s="39"/>
      <c r="AD179" s="39"/>
    </row>
    <row r="180" spans="3:30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279"/>
      <c r="T180" s="41"/>
      <c r="U180" s="363"/>
      <c r="V180" s="41"/>
      <c r="W180" s="363"/>
      <c r="X180" s="363"/>
      <c r="Y180" s="41"/>
      <c r="Z180" s="363"/>
      <c r="AA180" s="363"/>
      <c r="AB180" s="41"/>
      <c r="AC180" s="39"/>
      <c r="AD180" s="39"/>
    </row>
    <row r="181" spans="3:30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279"/>
      <c r="T181" s="41"/>
      <c r="U181" s="363"/>
      <c r="V181" s="41"/>
      <c r="W181" s="363"/>
      <c r="X181" s="363"/>
      <c r="Y181" s="41"/>
      <c r="Z181" s="363"/>
      <c r="AA181" s="363"/>
      <c r="AB181" s="41"/>
      <c r="AC181" s="39"/>
      <c r="AD181" s="39"/>
    </row>
    <row r="182" spans="3:30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279"/>
      <c r="T182" s="41"/>
      <c r="U182" s="363"/>
      <c r="V182" s="41"/>
      <c r="W182" s="363"/>
      <c r="X182" s="363"/>
      <c r="Y182" s="41"/>
      <c r="Z182" s="363"/>
      <c r="AA182" s="363"/>
      <c r="AB182" s="41"/>
      <c r="AC182" s="39"/>
      <c r="AD182" s="39"/>
    </row>
    <row r="183" spans="3:30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279"/>
      <c r="T183" s="41"/>
      <c r="U183" s="363"/>
      <c r="V183" s="41"/>
      <c r="W183" s="363"/>
      <c r="X183" s="363"/>
      <c r="Y183" s="41"/>
      <c r="Z183" s="363"/>
      <c r="AA183" s="363"/>
      <c r="AB183" s="41"/>
      <c r="AC183" s="39"/>
      <c r="AD183" s="39"/>
    </row>
    <row r="184" spans="3:30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279"/>
      <c r="T184" s="41"/>
      <c r="U184" s="363"/>
      <c r="V184" s="41"/>
      <c r="W184" s="363"/>
      <c r="X184" s="363"/>
      <c r="Y184" s="41"/>
      <c r="Z184" s="363"/>
      <c r="AA184" s="363"/>
      <c r="AB184" s="41"/>
      <c r="AC184" s="39"/>
      <c r="AD184" s="39"/>
    </row>
    <row r="185" spans="3:30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279"/>
      <c r="T185" s="41"/>
      <c r="U185" s="363"/>
      <c r="V185" s="41"/>
      <c r="W185" s="363"/>
      <c r="X185" s="363"/>
      <c r="Y185" s="41"/>
      <c r="Z185" s="363"/>
      <c r="AA185" s="363"/>
      <c r="AB185" s="41"/>
      <c r="AC185" s="39"/>
      <c r="AD185" s="39"/>
    </row>
    <row r="186" spans="3:30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279"/>
      <c r="T186" s="41"/>
      <c r="U186" s="363"/>
      <c r="V186" s="41"/>
      <c r="W186" s="363"/>
      <c r="X186" s="363"/>
      <c r="Y186" s="41"/>
      <c r="Z186" s="363"/>
      <c r="AA186" s="363"/>
      <c r="AB186" s="41"/>
      <c r="AC186" s="39"/>
      <c r="AD186" s="39"/>
    </row>
    <row r="187" spans="3:30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279"/>
      <c r="T187" s="41"/>
      <c r="U187" s="363"/>
      <c r="V187" s="41"/>
      <c r="W187" s="363"/>
      <c r="X187" s="363"/>
      <c r="Y187" s="41"/>
      <c r="Z187" s="363"/>
      <c r="AA187" s="363"/>
      <c r="AB187" s="41"/>
      <c r="AC187" s="39"/>
      <c r="AD187" s="39"/>
    </row>
    <row r="188" spans="3:30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279"/>
      <c r="T188" s="41"/>
      <c r="U188" s="363"/>
      <c r="V188" s="41"/>
      <c r="W188" s="363"/>
      <c r="X188" s="363"/>
      <c r="Y188" s="41"/>
      <c r="Z188" s="363"/>
      <c r="AA188" s="363"/>
      <c r="AB188" s="41"/>
      <c r="AC188" s="39"/>
      <c r="AD188" s="39"/>
    </row>
    <row r="189" spans="3:30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279"/>
      <c r="T189" s="41"/>
      <c r="U189" s="363"/>
      <c r="V189" s="41"/>
      <c r="W189" s="363"/>
      <c r="X189" s="363"/>
      <c r="Y189" s="41"/>
      <c r="Z189" s="363"/>
      <c r="AA189" s="363"/>
      <c r="AB189" s="41"/>
      <c r="AC189" s="39"/>
      <c r="AD189" s="39"/>
    </row>
    <row r="190" spans="3:30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279"/>
      <c r="T190" s="41"/>
      <c r="U190" s="363"/>
      <c r="V190" s="41"/>
      <c r="W190" s="363"/>
      <c r="X190" s="363"/>
      <c r="Y190" s="41"/>
      <c r="Z190" s="363"/>
      <c r="AA190" s="363"/>
      <c r="AB190" s="41"/>
      <c r="AC190" s="39"/>
      <c r="AD190" s="39"/>
    </row>
    <row r="191" spans="3:30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279"/>
      <c r="T191" s="41"/>
      <c r="U191" s="363"/>
      <c r="V191" s="41"/>
      <c r="W191" s="363"/>
      <c r="X191" s="363"/>
      <c r="Y191" s="41"/>
      <c r="Z191" s="363"/>
      <c r="AA191" s="363"/>
      <c r="AB191" s="41"/>
      <c r="AC191" s="39"/>
      <c r="AD191" s="39"/>
    </row>
    <row r="192" spans="3:30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279"/>
      <c r="T192" s="41"/>
      <c r="U192" s="363"/>
      <c r="V192" s="41"/>
      <c r="W192" s="363"/>
      <c r="X192" s="363"/>
      <c r="Y192" s="41"/>
      <c r="Z192" s="363"/>
      <c r="AA192" s="363"/>
      <c r="AB192" s="41"/>
      <c r="AC192" s="39"/>
      <c r="AD192" s="39"/>
    </row>
    <row r="193" spans="3:30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279"/>
      <c r="T193" s="41"/>
      <c r="U193" s="363"/>
      <c r="V193" s="41"/>
      <c r="W193" s="363"/>
      <c r="X193" s="363"/>
      <c r="Y193" s="41"/>
      <c r="Z193" s="363"/>
      <c r="AA193" s="363"/>
      <c r="AB193" s="41"/>
      <c r="AC193" s="39"/>
      <c r="AD193" s="39"/>
    </row>
    <row r="194" spans="3:30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279"/>
      <c r="T194" s="41"/>
      <c r="U194" s="363"/>
      <c r="V194" s="41"/>
      <c r="W194" s="363"/>
      <c r="X194" s="363"/>
      <c r="Y194" s="41"/>
      <c r="Z194" s="363"/>
      <c r="AA194" s="363"/>
      <c r="AB194" s="41"/>
      <c r="AC194" s="39"/>
      <c r="AD194" s="39"/>
    </row>
    <row r="195" spans="3:30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279"/>
      <c r="T195" s="41"/>
      <c r="U195" s="363"/>
      <c r="V195" s="41"/>
      <c r="W195" s="363"/>
      <c r="X195" s="363"/>
      <c r="Y195" s="41"/>
      <c r="Z195" s="363"/>
      <c r="AA195" s="363"/>
      <c r="AB195" s="41"/>
      <c r="AC195" s="39"/>
      <c r="AD195" s="39"/>
    </row>
    <row r="196" spans="3:30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279"/>
      <c r="T196" s="41"/>
      <c r="U196" s="363"/>
      <c r="V196" s="41"/>
      <c r="W196" s="363"/>
      <c r="X196" s="363"/>
      <c r="Y196" s="41"/>
      <c r="Z196" s="363"/>
      <c r="AA196" s="363"/>
      <c r="AB196" s="41"/>
      <c r="AC196" s="39"/>
      <c r="AD196" s="39"/>
    </row>
    <row r="197" spans="3:30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279"/>
      <c r="T197" s="41"/>
      <c r="U197" s="363"/>
      <c r="V197" s="41"/>
      <c r="W197" s="363"/>
      <c r="X197" s="363"/>
      <c r="Y197" s="41"/>
      <c r="Z197" s="363"/>
      <c r="AA197" s="363"/>
      <c r="AB197" s="41"/>
      <c r="AC197" s="39"/>
      <c r="AD197" s="39"/>
    </row>
    <row r="198" spans="3:30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279"/>
      <c r="T198" s="41"/>
      <c r="U198" s="363"/>
      <c r="V198" s="41"/>
      <c r="W198" s="363"/>
      <c r="X198" s="363"/>
      <c r="Y198" s="41"/>
      <c r="Z198" s="363"/>
      <c r="AA198" s="363"/>
      <c r="AB198" s="41"/>
      <c r="AC198" s="39"/>
      <c r="AD198" s="39"/>
    </row>
    <row r="199" spans="3:30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279"/>
      <c r="T199" s="41"/>
      <c r="U199" s="363"/>
      <c r="V199" s="41"/>
      <c r="W199" s="363"/>
      <c r="X199" s="363"/>
      <c r="Y199" s="41"/>
      <c r="Z199" s="363"/>
      <c r="AA199" s="363"/>
      <c r="AB199" s="41"/>
      <c r="AC199" s="39"/>
      <c r="AD199" s="39"/>
    </row>
    <row r="200" spans="3:30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279"/>
      <c r="T200" s="41"/>
      <c r="U200" s="363"/>
      <c r="V200" s="41"/>
      <c r="W200" s="363"/>
      <c r="X200" s="363"/>
      <c r="Y200" s="41"/>
      <c r="Z200" s="363"/>
      <c r="AA200" s="363"/>
      <c r="AB200" s="41"/>
      <c r="AC200" s="39"/>
      <c r="AD200" s="39"/>
    </row>
    <row r="201" spans="3:30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279"/>
      <c r="T201" s="41"/>
      <c r="U201" s="363"/>
      <c r="V201" s="41"/>
      <c r="W201" s="363"/>
      <c r="X201" s="363"/>
      <c r="Y201" s="41"/>
      <c r="Z201" s="363"/>
      <c r="AA201" s="363"/>
      <c r="AB201" s="41"/>
      <c r="AC201" s="39"/>
      <c r="AD201" s="39"/>
    </row>
    <row r="202" spans="3:30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279"/>
      <c r="T202" s="41"/>
      <c r="U202" s="363"/>
      <c r="V202" s="41"/>
      <c r="W202" s="363"/>
      <c r="X202" s="363"/>
      <c r="Y202" s="41"/>
      <c r="Z202" s="363"/>
      <c r="AA202" s="363"/>
      <c r="AB202" s="41"/>
      <c r="AC202" s="39"/>
      <c r="AD202" s="39"/>
    </row>
    <row r="203" spans="3:30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279"/>
      <c r="T203" s="41"/>
      <c r="U203" s="363"/>
      <c r="V203" s="41"/>
      <c r="W203" s="363"/>
      <c r="X203" s="363"/>
      <c r="Y203" s="41"/>
      <c r="Z203" s="363"/>
      <c r="AA203" s="363"/>
      <c r="AB203" s="41"/>
      <c r="AC203" s="39"/>
      <c r="AD203" s="39"/>
    </row>
    <row r="204" spans="3:30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279"/>
      <c r="T204" s="41"/>
      <c r="U204" s="363"/>
      <c r="V204" s="41"/>
      <c r="W204" s="363"/>
      <c r="X204" s="363"/>
      <c r="Y204" s="41"/>
      <c r="Z204" s="363"/>
      <c r="AA204" s="363"/>
      <c r="AB204" s="41"/>
      <c r="AC204" s="39"/>
      <c r="AD204" s="39"/>
    </row>
    <row r="205" spans="3:30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279"/>
      <c r="T205" s="41"/>
      <c r="U205" s="363"/>
      <c r="V205" s="41"/>
      <c r="W205" s="363"/>
      <c r="X205" s="363"/>
      <c r="Y205" s="41"/>
      <c r="Z205" s="363"/>
      <c r="AA205" s="363"/>
      <c r="AB205" s="41"/>
      <c r="AC205" s="39"/>
      <c r="AD205" s="39"/>
    </row>
    <row r="206" spans="3:30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279"/>
      <c r="T206" s="41"/>
      <c r="U206" s="363"/>
      <c r="V206" s="41"/>
      <c r="W206" s="363"/>
      <c r="X206" s="363"/>
      <c r="Y206" s="41"/>
      <c r="Z206" s="363"/>
      <c r="AA206" s="363"/>
      <c r="AB206" s="41"/>
      <c r="AC206" s="39"/>
      <c r="AD206" s="39"/>
    </row>
    <row r="207" spans="3:30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279"/>
      <c r="T207" s="41"/>
      <c r="U207" s="363"/>
      <c r="V207" s="41"/>
      <c r="W207" s="363"/>
      <c r="X207" s="363"/>
      <c r="Y207" s="41"/>
      <c r="Z207" s="363"/>
      <c r="AA207" s="363"/>
      <c r="AB207" s="41"/>
      <c r="AC207" s="39"/>
      <c r="AD207" s="39"/>
    </row>
    <row r="208" spans="3:30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279"/>
      <c r="T208" s="41"/>
      <c r="U208" s="363"/>
      <c r="V208" s="41"/>
      <c r="W208" s="363"/>
      <c r="X208" s="363"/>
      <c r="Y208" s="41"/>
      <c r="Z208" s="363"/>
      <c r="AA208" s="363"/>
      <c r="AB208" s="41"/>
      <c r="AC208" s="39"/>
      <c r="AD208" s="39"/>
    </row>
    <row r="209" spans="3:30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279"/>
      <c r="T209" s="41"/>
      <c r="U209" s="363"/>
      <c r="V209" s="41"/>
      <c r="W209" s="363"/>
      <c r="X209" s="363"/>
      <c r="Y209" s="41"/>
      <c r="Z209" s="363"/>
      <c r="AA209" s="363"/>
      <c r="AB209" s="41"/>
      <c r="AC209" s="39"/>
      <c r="AD209" s="39"/>
    </row>
    <row r="210" spans="3:30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279"/>
      <c r="T210" s="41"/>
      <c r="U210" s="363"/>
      <c r="V210" s="41"/>
      <c r="W210" s="363"/>
      <c r="X210" s="363"/>
      <c r="Y210" s="41"/>
      <c r="Z210" s="363"/>
      <c r="AA210" s="363"/>
      <c r="AB210" s="41"/>
      <c r="AC210" s="39"/>
      <c r="AD210" s="39"/>
    </row>
    <row r="211" spans="3:30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279"/>
      <c r="T211" s="41"/>
      <c r="U211" s="363"/>
      <c r="V211" s="41"/>
      <c r="W211" s="363"/>
      <c r="X211" s="363"/>
      <c r="Y211" s="41"/>
      <c r="Z211" s="363"/>
      <c r="AA211" s="363"/>
      <c r="AB211" s="41"/>
      <c r="AC211" s="39"/>
      <c r="AD211" s="39"/>
    </row>
    <row r="212" spans="3:30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279"/>
      <c r="T212" s="41"/>
      <c r="U212" s="363"/>
      <c r="V212" s="41"/>
      <c r="W212" s="363"/>
      <c r="X212" s="363"/>
      <c r="Y212" s="41"/>
      <c r="Z212" s="363"/>
      <c r="AA212" s="363"/>
      <c r="AB212" s="41"/>
      <c r="AC212" s="39"/>
      <c r="AD212" s="39"/>
    </row>
    <row r="213" spans="3:30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279"/>
      <c r="T213" s="41"/>
      <c r="U213" s="363"/>
      <c r="V213" s="41"/>
      <c r="W213" s="363"/>
      <c r="X213" s="363"/>
      <c r="Y213" s="41"/>
      <c r="Z213" s="363"/>
      <c r="AA213" s="363"/>
      <c r="AB213" s="41"/>
      <c r="AC213" s="39"/>
      <c r="AD213" s="39"/>
    </row>
    <row r="214" spans="3:30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279"/>
      <c r="T214" s="41"/>
      <c r="U214" s="363"/>
      <c r="V214" s="41"/>
      <c r="W214" s="363"/>
      <c r="X214" s="363"/>
      <c r="Y214" s="41"/>
      <c r="Z214" s="363"/>
      <c r="AA214" s="363"/>
      <c r="AB214" s="41"/>
      <c r="AC214" s="39"/>
      <c r="AD214" s="39"/>
    </row>
    <row r="215" spans="3:30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279"/>
      <c r="T215" s="41"/>
      <c r="U215" s="363"/>
      <c r="V215" s="41"/>
      <c r="W215" s="363"/>
      <c r="X215" s="363"/>
      <c r="Y215" s="41"/>
      <c r="Z215" s="363"/>
      <c r="AA215" s="363"/>
      <c r="AB215" s="41"/>
      <c r="AC215" s="39"/>
      <c r="AD215" s="39"/>
    </row>
    <row r="216" spans="3:30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279"/>
      <c r="T216" s="41"/>
      <c r="U216" s="363"/>
      <c r="V216" s="41"/>
      <c r="W216" s="363"/>
      <c r="X216" s="363"/>
      <c r="Y216" s="41"/>
      <c r="Z216" s="363"/>
      <c r="AA216" s="363"/>
      <c r="AB216" s="41"/>
      <c r="AC216" s="39"/>
      <c r="AD216" s="39"/>
    </row>
    <row r="217" spans="3:30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279"/>
      <c r="T217" s="41"/>
      <c r="U217" s="363"/>
      <c r="V217" s="41"/>
      <c r="W217" s="363"/>
      <c r="X217" s="363"/>
      <c r="Y217" s="41"/>
      <c r="Z217" s="363"/>
      <c r="AA217" s="363"/>
      <c r="AB217" s="41"/>
      <c r="AC217" s="39"/>
      <c r="AD217" s="39"/>
    </row>
    <row r="218" spans="3:30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279"/>
      <c r="T218" s="41"/>
      <c r="U218" s="363"/>
      <c r="V218" s="41"/>
      <c r="W218" s="363"/>
      <c r="X218" s="363"/>
      <c r="Y218" s="41"/>
      <c r="Z218" s="363"/>
      <c r="AA218" s="363"/>
      <c r="AB218" s="41"/>
      <c r="AC218" s="39"/>
      <c r="AD218" s="39"/>
    </row>
    <row r="219" spans="3:30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279"/>
      <c r="T219" s="41"/>
      <c r="U219" s="363"/>
      <c r="V219" s="41"/>
      <c r="W219" s="363"/>
      <c r="X219" s="363"/>
      <c r="Y219" s="41"/>
      <c r="Z219" s="363"/>
      <c r="AA219" s="363"/>
      <c r="AB219" s="41"/>
      <c r="AC219" s="39"/>
      <c r="AD219" s="39"/>
    </row>
    <row r="220" spans="3:30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279"/>
      <c r="T220" s="41"/>
      <c r="U220" s="363"/>
      <c r="V220" s="41"/>
      <c r="W220" s="363"/>
      <c r="X220" s="363"/>
      <c r="Y220" s="41"/>
      <c r="Z220" s="363"/>
      <c r="AA220" s="363"/>
      <c r="AB220" s="41"/>
      <c r="AC220" s="39"/>
      <c r="AD220" s="39"/>
    </row>
    <row r="221" spans="3:30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279"/>
      <c r="T221" s="41"/>
      <c r="U221" s="363"/>
      <c r="V221" s="41"/>
      <c r="W221" s="363"/>
      <c r="X221" s="363"/>
      <c r="Y221" s="41"/>
      <c r="Z221" s="363"/>
      <c r="AA221" s="363"/>
      <c r="AB221" s="41"/>
      <c r="AC221" s="39"/>
      <c r="AD221" s="39"/>
    </row>
    <row r="222" spans="3:30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279"/>
      <c r="T222" s="41"/>
      <c r="U222" s="363"/>
      <c r="V222" s="41"/>
      <c r="W222" s="363"/>
      <c r="X222" s="363"/>
      <c r="Y222" s="41"/>
      <c r="Z222" s="363"/>
      <c r="AA222" s="363"/>
      <c r="AB222" s="41"/>
      <c r="AC222" s="39"/>
      <c r="AD222" s="39"/>
    </row>
    <row r="223" spans="3:30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279"/>
      <c r="T223" s="41"/>
      <c r="U223" s="363"/>
      <c r="V223" s="41"/>
      <c r="W223" s="363"/>
      <c r="X223" s="363"/>
      <c r="Y223" s="41"/>
      <c r="Z223" s="363"/>
      <c r="AA223" s="363"/>
      <c r="AB223" s="41"/>
      <c r="AC223" s="39"/>
      <c r="AD223" s="39"/>
    </row>
    <row r="224" spans="3:30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279"/>
      <c r="T224" s="41"/>
      <c r="U224" s="363"/>
      <c r="V224" s="41"/>
      <c r="W224" s="363"/>
      <c r="X224" s="363"/>
      <c r="Y224" s="41"/>
      <c r="Z224" s="363"/>
      <c r="AA224" s="363"/>
      <c r="AB224" s="41"/>
      <c r="AC224" s="39"/>
      <c r="AD224" s="39"/>
    </row>
    <row r="225" spans="3:30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279"/>
      <c r="T225" s="41"/>
      <c r="U225" s="363"/>
      <c r="V225" s="41"/>
      <c r="W225" s="363"/>
      <c r="X225" s="363"/>
      <c r="Y225" s="41"/>
      <c r="Z225" s="363"/>
      <c r="AA225" s="363"/>
      <c r="AB225" s="41"/>
      <c r="AC225" s="39"/>
      <c r="AD225" s="39"/>
    </row>
    <row r="226" spans="3:30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279"/>
      <c r="T226" s="41"/>
      <c r="U226" s="363"/>
      <c r="V226" s="41"/>
      <c r="W226" s="363"/>
      <c r="X226" s="363"/>
      <c r="Y226" s="41"/>
      <c r="Z226" s="363"/>
      <c r="AA226" s="363"/>
      <c r="AB226" s="41"/>
      <c r="AC226" s="39"/>
      <c r="AD226" s="39"/>
    </row>
    <row r="227" spans="3:30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279"/>
      <c r="T227" s="41"/>
      <c r="U227" s="363"/>
      <c r="V227" s="41"/>
      <c r="W227" s="363"/>
      <c r="X227" s="363"/>
      <c r="Y227" s="41"/>
      <c r="Z227" s="363"/>
      <c r="AA227" s="363"/>
      <c r="AB227" s="41"/>
      <c r="AC227" s="39"/>
      <c r="AD227" s="39"/>
    </row>
    <row r="228" spans="3:30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279"/>
      <c r="T228" s="41"/>
      <c r="U228" s="363"/>
      <c r="V228" s="41"/>
      <c r="W228" s="363"/>
      <c r="X228" s="363"/>
      <c r="Y228" s="41"/>
      <c r="Z228" s="363"/>
      <c r="AA228" s="363"/>
      <c r="AB228" s="41"/>
      <c r="AC228" s="39"/>
      <c r="AD228" s="39"/>
    </row>
    <row r="229" spans="3:30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279"/>
      <c r="T229" s="41"/>
      <c r="U229" s="363"/>
      <c r="V229" s="41"/>
      <c r="W229" s="363"/>
      <c r="X229" s="363"/>
      <c r="Y229" s="41"/>
      <c r="Z229" s="363"/>
      <c r="AA229" s="363"/>
      <c r="AB229" s="41"/>
      <c r="AC229" s="39"/>
      <c r="AD229" s="39"/>
    </row>
    <row r="230" spans="3:30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279"/>
      <c r="T230" s="41"/>
      <c r="U230" s="363"/>
      <c r="V230" s="41"/>
      <c r="W230" s="363"/>
      <c r="X230" s="363"/>
      <c r="Y230" s="41"/>
      <c r="Z230" s="363"/>
      <c r="AA230" s="363"/>
      <c r="AB230" s="41"/>
      <c r="AC230" s="39"/>
      <c r="AD230" s="39"/>
    </row>
    <row r="231" spans="3:30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279"/>
      <c r="T231" s="41"/>
      <c r="U231" s="363"/>
      <c r="V231" s="41"/>
      <c r="W231" s="363"/>
      <c r="X231" s="363"/>
      <c r="Y231" s="41"/>
      <c r="Z231" s="363"/>
      <c r="AA231" s="363"/>
      <c r="AB231" s="41"/>
      <c r="AC231" s="39"/>
      <c r="AD231" s="39"/>
    </row>
    <row r="232" spans="3:30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279"/>
      <c r="T232" s="41"/>
      <c r="U232" s="363"/>
      <c r="V232" s="41"/>
      <c r="W232" s="363"/>
      <c r="X232" s="363"/>
      <c r="Y232" s="41"/>
      <c r="Z232" s="363"/>
      <c r="AA232" s="363"/>
      <c r="AB232" s="41"/>
      <c r="AC232" s="39"/>
      <c r="AD232" s="39"/>
    </row>
    <row r="233" spans="3:30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279"/>
      <c r="T233" s="41"/>
      <c r="U233" s="363"/>
      <c r="V233" s="41"/>
      <c r="W233" s="363"/>
      <c r="X233" s="363"/>
      <c r="Y233" s="41"/>
      <c r="Z233" s="363"/>
      <c r="AA233" s="363"/>
      <c r="AB233" s="41"/>
      <c r="AC233" s="39"/>
      <c r="AD233" s="39"/>
    </row>
    <row r="234" spans="3:30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279"/>
      <c r="T234" s="41"/>
      <c r="U234" s="363"/>
      <c r="V234" s="41"/>
      <c r="W234" s="363"/>
      <c r="X234" s="363"/>
      <c r="Y234" s="41"/>
      <c r="Z234" s="363"/>
      <c r="AA234" s="363"/>
      <c r="AB234" s="41"/>
      <c r="AC234" s="39"/>
      <c r="AD234" s="39"/>
    </row>
    <row r="235" spans="3:30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279"/>
      <c r="T235" s="41"/>
      <c r="U235" s="363"/>
      <c r="V235" s="41"/>
      <c r="W235" s="363"/>
      <c r="X235" s="363"/>
      <c r="Y235" s="41"/>
      <c r="Z235" s="363"/>
      <c r="AA235" s="363"/>
      <c r="AB235" s="41"/>
      <c r="AC235" s="39"/>
      <c r="AD235" s="39"/>
    </row>
    <row r="236" spans="3:30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279"/>
      <c r="T236" s="41"/>
      <c r="U236" s="363"/>
      <c r="V236" s="41"/>
      <c r="W236" s="363"/>
      <c r="X236" s="363"/>
      <c r="Y236" s="41"/>
      <c r="Z236" s="363"/>
      <c r="AA236" s="363"/>
      <c r="AB236" s="41"/>
      <c r="AC236" s="39"/>
      <c r="AD236" s="39"/>
    </row>
    <row r="237" spans="3:30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279"/>
      <c r="T237" s="41"/>
      <c r="U237" s="363"/>
      <c r="V237" s="41"/>
      <c r="W237" s="363"/>
      <c r="X237" s="363"/>
      <c r="Y237" s="41"/>
      <c r="Z237" s="363"/>
      <c r="AA237" s="363"/>
      <c r="AB237" s="41"/>
      <c r="AC237" s="39"/>
      <c r="AD237" s="39"/>
    </row>
    <row r="238" spans="3:30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279"/>
      <c r="T238" s="41"/>
      <c r="U238" s="363"/>
      <c r="V238" s="41"/>
      <c r="W238" s="363"/>
      <c r="X238" s="363"/>
      <c r="Y238" s="41"/>
      <c r="Z238" s="363"/>
      <c r="AA238" s="363"/>
      <c r="AB238" s="41"/>
      <c r="AC238" s="39"/>
      <c r="AD238" s="39"/>
    </row>
    <row r="239" spans="3:30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279"/>
      <c r="T239" s="41"/>
      <c r="U239" s="363"/>
      <c r="V239" s="41"/>
      <c r="W239" s="363"/>
      <c r="X239" s="363"/>
      <c r="Y239" s="41"/>
      <c r="Z239" s="363"/>
      <c r="AA239" s="363"/>
      <c r="AB239" s="41"/>
      <c r="AC239" s="39"/>
      <c r="AD239" s="39"/>
    </row>
    <row r="240" spans="3:30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279"/>
      <c r="T240" s="41"/>
      <c r="U240" s="363"/>
      <c r="V240" s="41"/>
      <c r="W240" s="363"/>
      <c r="X240" s="363"/>
      <c r="Y240" s="41"/>
      <c r="Z240" s="363"/>
      <c r="AA240" s="363"/>
      <c r="AB240" s="41"/>
      <c r="AC240" s="39"/>
      <c r="AD240" s="39"/>
    </row>
    <row r="241" spans="3:30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279"/>
      <c r="T241" s="41"/>
      <c r="U241" s="363"/>
      <c r="V241" s="41"/>
      <c r="W241" s="363"/>
      <c r="X241" s="363"/>
      <c r="Y241" s="41"/>
      <c r="Z241" s="363"/>
      <c r="AA241" s="363"/>
      <c r="AB241" s="41"/>
      <c r="AC241" s="39"/>
      <c r="AD241" s="39"/>
    </row>
    <row r="242" spans="3:30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279"/>
      <c r="T242" s="41"/>
      <c r="U242" s="363"/>
      <c r="V242" s="41"/>
      <c r="W242" s="363"/>
      <c r="X242" s="363"/>
      <c r="Y242" s="41"/>
      <c r="Z242" s="363"/>
      <c r="AA242" s="363"/>
      <c r="AB242" s="41"/>
      <c r="AC242" s="39"/>
      <c r="AD242" s="39"/>
    </row>
    <row r="243" spans="3:30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279"/>
      <c r="T243" s="41"/>
      <c r="U243" s="363"/>
      <c r="V243" s="41"/>
      <c r="W243" s="363"/>
      <c r="X243" s="363"/>
      <c r="Y243" s="41"/>
      <c r="Z243" s="363"/>
      <c r="AA243" s="363"/>
      <c r="AB243" s="41"/>
      <c r="AC243" s="39"/>
      <c r="AD243" s="39"/>
    </row>
    <row r="244" spans="3:30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279"/>
      <c r="T244" s="41"/>
      <c r="U244" s="363"/>
      <c r="V244" s="41"/>
      <c r="W244" s="363"/>
      <c r="X244" s="363"/>
      <c r="Y244" s="41"/>
      <c r="Z244" s="363"/>
      <c r="AA244" s="363"/>
      <c r="AB244" s="41"/>
      <c r="AC244" s="39"/>
      <c r="AD244" s="39"/>
    </row>
    <row r="245" spans="3:30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279"/>
      <c r="T245" s="41"/>
      <c r="U245" s="363"/>
      <c r="V245" s="41"/>
      <c r="W245" s="363"/>
      <c r="X245" s="363"/>
      <c r="Y245" s="41"/>
      <c r="Z245" s="363"/>
      <c r="AA245" s="363"/>
      <c r="AB245" s="41"/>
      <c r="AC245" s="39"/>
      <c r="AD245" s="39"/>
    </row>
    <row r="246" spans="3:30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279"/>
      <c r="T246" s="41"/>
      <c r="U246" s="363"/>
      <c r="V246" s="41"/>
      <c r="W246" s="363"/>
      <c r="X246" s="363"/>
      <c r="Y246" s="41"/>
      <c r="Z246" s="363"/>
      <c r="AA246" s="363"/>
      <c r="AB246" s="41"/>
      <c r="AC246" s="39"/>
      <c r="AD246" s="39"/>
    </row>
    <row r="247" spans="3:30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279"/>
      <c r="T247" s="41"/>
      <c r="U247" s="363"/>
      <c r="V247" s="41"/>
      <c r="W247" s="363"/>
      <c r="X247" s="363"/>
      <c r="Y247" s="41"/>
      <c r="Z247" s="363"/>
      <c r="AA247" s="363"/>
      <c r="AB247" s="41"/>
      <c r="AC247" s="39"/>
      <c r="AD247" s="39"/>
    </row>
    <row r="248" spans="3:30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279"/>
      <c r="T248" s="41"/>
      <c r="U248" s="363"/>
      <c r="V248" s="41"/>
      <c r="W248" s="363"/>
      <c r="X248" s="363"/>
      <c r="Y248" s="41"/>
      <c r="Z248" s="363"/>
      <c r="AA248" s="363"/>
      <c r="AB248" s="41"/>
      <c r="AC248" s="39"/>
      <c r="AD248" s="39"/>
    </row>
    <row r="249" spans="3:30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279"/>
      <c r="T249" s="41"/>
      <c r="U249" s="363"/>
      <c r="V249" s="41"/>
      <c r="W249" s="363"/>
      <c r="X249" s="363"/>
      <c r="Y249" s="41"/>
      <c r="Z249" s="363"/>
      <c r="AA249" s="363"/>
      <c r="AB249" s="41"/>
      <c r="AC249" s="39"/>
      <c r="AD249" s="39"/>
    </row>
    <row r="250" spans="3:30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279"/>
      <c r="T250" s="41"/>
      <c r="U250" s="363"/>
      <c r="V250" s="41"/>
      <c r="W250" s="363"/>
      <c r="X250" s="363"/>
      <c r="Y250" s="41"/>
      <c r="Z250" s="363"/>
      <c r="AA250" s="363"/>
      <c r="AB250" s="41"/>
      <c r="AC250" s="39"/>
      <c r="AD250" s="39"/>
    </row>
    <row r="251" spans="3:30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279"/>
      <c r="T251" s="41"/>
      <c r="U251" s="363"/>
      <c r="V251" s="41"/>
      <c r="W251" s="363"/>
      <c r="X251" s="363"/>
      <c r="Y251" s="41"/>
      <c r="Z251" s="363"/>
      <c r="AA251" s="363"/>
      <c r="AB251" s="41"/>
      <c r="AC251" s="39"/>
      <c r="AD251" s="39"/>
    </row>
    <row r="252" spans="3:30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279"/>
      <c r="T252" s="41"/>
      <c r="U252" s="363"/>
      <c r="V252" s="41"/>
      <c r="W252" s="363"/>
      <c r="X252" s="363"/>
      <c r="Y252" s="41"/>
      <c r="Z252" s="363"/>
      <c r="AA252" s="363"/>
      <c r="AB252" s="41"/>
      <c r="AC252" s="39"/>
      <c r="AD252" s="39"/>
    </row>
    <row r="253" spans="3:30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279"/>
      <c r="T253" s="41"/>
      <c r="U253" s="363"/>
      <c r="V253" s="41"/>
      <c r="W253" s="363"/>
      <c r="X253" s="363"/>
      <c r="Y253" s="41"/>
      <c r="Z253" s="363"/>
      <c r="AA253" s="363"/>
      <c r="AB253" s="41"/>
      <c r="AC253" s="39"/>
      <c r="AD253" s="39"/>
    </row>
    <row r="254" spans="3:30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279"/>
      <c r="T254" s="41"/>
      <c r="U254" s="363"/>
      <c r="V254" s="41"/>
      <c r="W254" s="363"/>
      <c r="X254" s="363"/>
      <c r="Y254" s="41"/>
      <c r="Z254" s="363"/>
      <c r="AA254" s="363"/>
      <c r="AB254" s="41"/>
      <c r="AC254" s="39"/>
      <c r="AD254" s="39"/>
    </row>
    <row r="255" spans="3:30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279"/>
      <c r="T255" s="41"/>
      <c r="U255" s="363"/>
      <c r="V255" s="41"/>
      <c r="W255" s="363"/>
      <c r="X255" s="363"/>
      <c r="Y255" s="41"/>
      <c r="Z255" s="363"/>
      <c r="AA255" s="363"/>
      <c r="AB255" s="41"/>
      <c r="AC255" s="39"/>
      <c r="AD255" s="39"/>
    </row>
    <row r="256" spans="3:30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279"/>
      <c r="T256" s="41"/>
      <c r="U256" s="363"/>
      <c r="V256" s="41"/>
      <c r="W256" s="363"/>
      <c r="X256" s="363"/>
      <c r="Y256" s="41"/>
      <c r="Z256" s="363"/>
      <c r="AA256" s="363"/>
      <c r="AB256" s="41"/>
      <c r="AC256" s="39"/>
      <c r="AD256" s="39"/>
    </row>
    <row r="257" spans="3:30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279"/>
      <c r="T257" s="41"/>
      <c r="U257" s="363"/>
      <c r="V257" s="41"/>
      <c r="W257" s="363"/>
      <c r="X257" s="363"/>
      <c r="Y257" s="41"/>
      <c r="Z257" s="363"/>
      <c r="AA257" s="363"/>
      <c r="AB257" s="41"/>
      <c r="AC257" s="39"/>
      <c r="AD257" s="39"/>
    </row>
    <row r="258" spans="3:30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279"/>
      <c r="T258" s="41"/>
      <c r="U258" s="363"/>
      <c r="V258" s="41"/>
      <c r="W258" s="363"/>
      <c r="X258" s="363"/>
      <c r="Y258" s="41"/>
      <c r="Z258" s="363"/>
      <c r="AA258" s="363"/>
      <c r="AB258" s="41"/>
      <c r="AC258" s="39"/>
      <c r="AD258" s="39"/>
    </row>
    <row r="259" spans="3:30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279"/>
      <c r="T259" s="41"/>
      <c r="U259" s="363"/>
      <c r="V259" s="41"/>
      <c r="W259" s="363"/>
      <c r="X259" s="363"/>
      <c r="Y259" s="41"/>
      <c r="Z259" s="363"/>
      <c r="AA259" s="363"/>
      <c r="AB259" s="41"/>
      <c r="AC259" s="39"/>
      <c r="AD259" s="39"/>
    </row>
    <row r="260" spans="3:30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279"/>
      <c r="T260" s="41"/>
      <c r="U260" s="363"/>
      <c r="V260" s="41"/>
      <c r="W260" s="363"/>
      <c r="X260" s="363"/>
      <c r="Y260" s="41"/>
      <c r="Z260" s="363"/>
      <c r="AA260" s="363"/>
      <c r="AB260" s="41"/>
      <c r="AC260" s="39"/>
      <c r="AD260" s="39"/>
    </row>
    <row r="261" spans="3:30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279"/>
      <c r="T261" s="41"/>
      <c r="U261" s="363"/>
      <c r="V261" s="41"/>
      <c r="W261" s="363"/>
      <c r="X261" s="363"/>
      <c r="Y261" s="41"/>
      <c r="Z261" s="363"/>
      <c r="AA261" s="363"/>
      <c r="AB261" s="41"/>
      <c r="AC261" s="39"/>
      <c r="AD261" s="39"/>
    </row>
    <row r="262" spans="3:30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279"/>
      <c r="T262" s="41"/>
      <c r="U262" s="363"/>
      <c r="V262" s="41"/>
      <c r="W262" s="363"/>
      <c r="X262" s="363"/>
      <c r="Y262" s="41"/>
      <c r="Z262" s="363"/>
      <c r="AA262" s="363"/>
      <c r="AB262" s="41"/>
      <c r="AC262" s="39"/>
      <c r="AD262" s="39"/>
    </row>
    <row r="263" spans="3:30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279"/>
      <c r="T263" s="41"/>
      <c r="U263" s="363"/>
      <c r="V263" s="41"/>
      <c r="W263" s="363"/>
      <c r="X263" s="363"/>
      <c r="Y263" s="41"/>
      <c r="Z263" s="363"/>
      <c r="AA263" s="363"/>
      <c r="AB263" s="41"/>
      <c r="AC263" s="39"/>
      <c r="AD263" s="39"/>
    </row>
    <row r="264" spans="3:30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279"/>
      <c r="T264" s="41"/>
      <c r="U264" s="363"/>
      <c r="V264" s="41"/>
      <c r="W264" s="363"/>
      <c r="X264" s="363"/>
      <c r="Y264" s="41"/>
      <c r="Z264" s="363"/>
      <c r="AA264" s="363"/>
      <c r="AB264" s="41"/>
      <c r="AC264" s="39"/>
      <c r="AD264" s="39"/>
    </row>
    <row r="265" spans="3:30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279"/>
      <c r="T265" s="41"/>
      <c r="U265" s="363"/>
      <c r="V265" s="41"/>
      <c r="W265" s="363"/>
      <c r="X265" s="363"/>
      <c r="Y265" s="41"/>
      <c r="Z265" s="363"/>
      <c r="AA265" s="363"/>
      <c r="AB265" s="41"/>
      <c r="AC265" s="39"/>
      <c r="AD265" s="39"/>
    </row>
    <row r="266" spans="3:30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279"/>
      <c r="T266" s="41"/>
      <c r="U266" s="363"/>
      <c r="V266" s="41"/>
      <c r="W266" s="363"/>
      <c r="X266" s="363"/>
      <c r="Y266" s="41"/>
      <c r="Z266" s="363"/>
      <c r="AA266" s="363"/>
      <c r="AB266" s="41"/>
      <c r="AC266" s="39"/>
      <c r="AD266" s="39"/>
    </row>
    <row r="267" spans="3:30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279"/>
      <c r="T267" s="41"/>
      <c r="U267" s="363"/>
      <c r="V267" s="41"/>
      <c r="W267" s="363"/>
      <c r="X267" s="363"/>
      <c r="Y267" s="41"/>
      <c r="Z267" s="363"/>
      <c r="AA267" s="363"/>
      <c r="AB267" s="41"/>
      <c r="AC267" s="39"/>
      <c r="AD267" s="39"/>
    </row>
    <row r="268" spans="3:30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279"/>
      <c r="T268" s="41"/>
      <c r="U268" s="363"/>
      <c r="V268" s="41"/>
      <c r="W268" s="363"/>
      <c r="X268" s="363"/>
      <c r="Y268" s="41"/>
      <c r="Z268" s="363"/>
      <c r="AA268" s="363"/>
      <c r="AB268" s="41"/>
      <c r="AC268" s="39"/>
      <c r="AD268" s="39"/>
    </row>
    <row r="269" spans="3:30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279"/>
      <c r="T269" s="41"/>
      <c r="U269" s="363"/>
      <c r="V269" s="41"/>
      <c r="W269" s="363"/>
      <c r="X269" s="363"/>
      <c r="Y269" s="41"/>
      <c r="Z269" s="363"/>
      <c r="AA269" s="363"/>
      <c r="AB269" s="41"/>
      <c r="AC269" s="39"/>
      <c r="AD269" s="39"/>
    </row>
    <row r="270" spans="3:30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279"/>
      <c r="T270" s="41"/>
      <c r="U270" s="363"/>
      <c r="V270" s="41"/>
      <c r="W270" s="363"/>
      <c r="X270" s="363"/>
      <c r="Y270" s="41"/>
      <c r="Z270" s="363"/>
      <c r="AA270" s="363"/>
      <c r="AB270" s="41"/>
      <c r="AC270" s="39"/>
      <c r="AD270" s="39"/>
    </row>
    <row r="271" spans="3:30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279"/>
      <c r="T271" s="41"/>
      <c r="U271" s="363"/>
      <c r="V271" s="41"/>
      <c r="W271" s="363"/>
      <c r="X271" s="363"/>
      <c r="Y271" s="41"/>
      <c r="Z271" s="363"/>
      <c r="AA271" s="363"/>
      <c r="AB271" s="41"/>
      <c r="AC271" s="39"/>
      <c r="AD271" s="39"/>
    </row>
    <row r="272" spans="3:30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279"/>
      <c r="T272" s="41"/>
      <c r="U272" s="363"/>
      <c r="V272" s="41"/>
      <c r="W272" s="363"/>
      <c r="X272" s="363"/>
      <c r="Y272" s="41"/>
      <c r="Z272" s="363"/>
      <c r="AA272" s="363"/>
      <c r="AB272" s="41"/>
      <c r="AC272" s="39"/>
      <c r="AD272" s="39"/>
    </row>
    <row r="273" spans="3:30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279"/>
      <c r="T273" s="41"/>
      <c r="U273" s="363"/>
      <c r="V273" s="41"/>
      <c r="W273" s="363"/>
      <c r="X273" s="363"/>
      <c r="Y273" s="41"/>
      <c r="Z273" s="363"/>
      <c r="AA273" s="363"/>
      <c r="AB273" s="41"/>
      <c r="AC273" s="39"/>
      <c r="AD273" s="39"/>
    </row>
    <row r="274" spans="3:30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279"/>
      <c r="T274" s="41"/>
      <c r="U274" s="363"/>
      <c r="V274" s="41"/>
      <c r="W274" s="363"/>
      <c r="X274" s="363"/>
      <c r="Y274" s="41"/>
      <c r="Z274" s="363"/>
      <c r="AA274" s="363"/>
      <c r="AB274" s="41"/>
      <c r="AC274" s="39"/>
      <c r="AD274" s="39"/>
    </row>
    <row r="275" spans="3:30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279"/>
      <c r="T275" s="41"/>
      <c r="U275" s="363"/>
      <c r="V275" s="41"/>
      <c r="W275" s="363"/>
      <c r="X275" s="363"/>
      <c r="Y275" s="41"/>
      <c r="Z275" s="363"/>
      <c r="AA275" s="363"/>
      <c r="AB275" s="41"/>
      <c r="AC275" s="39"/>
      <c r="AD275" s="39"/>
    </row>
    <row r="276" spans="3:30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279"/>
      <c r="T276" s="41"/>
      <c r="U276" s="363"/>
      <c r="V276" s="41"/>
      <c r="W276" s="363"/>
      <c r="X276" s="363"/>
      <c r="Y276" s="41"/>
      <c r="Z276" s="363"/>
      <c r="AA276" s="363"/>
      <c r="AB276" s="41"/>
      <c r="AC276" s="39"/>
      <c r="AD276" s="39"/>
    </row>
    <row r="277" spans="3:30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T277" s="27"/>
      <c r="V277" s="27"/>
      <c r="Y277" s="27"/>
      <c r="AB277" s="27"/>
      <c r="AC277" s="22"/>
      <c r="AD277" s="22"/>
    </row>
  </sheetData>
  <sheetProtection algorithmName="SHA-512" hashValue="erkyI7TWES0RmneaFYv3vXDFoEouAGmdfRvVMTl0KtgvzvgoedLg8nxze7Sx3byID1FoAIcX6UPOj216Ah7ygQ==" saltValue="XsJIa4TR3whjFznIJ25r6A==" spinCount="100000" sheet="1" objects="1" scenarios="1" selectLockedCells="1"/>
  <pageMargins left="0.7" right="0.7" top="0.75" bottom="0.75" header="0.3" footer="0.3"/>
  <pageSetup scale="2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W277"/>
  <sheetViews>
    <sheetView workbookViewId="0">
      <selection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5" width="9.85546875" style="14" bestFit="1" customWidth="1"/>
    <col min="6" max="16" width="8.85546875" style="14"/>
    <col min="17" max="17" width="8.85546875" style="22"/>
    <col min="18" max="18" width="2.140625" style="28" customWidth="1"/>
    <col min="19" max="19" width="9.85546875" style="21" bestFit="1" customWidth="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",MYP!G4)</f>
        <v>Monthly Cash Flow/Budget FY22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'FY21'!E4+(365*1)</f>
        <v>44378</v>
      </c>
      <c r="F4" s="33">
        <f t="shared" ref="F4:P4" si="0">E4+31</f>
        <v>44409</v>
      </c>
      <c r="G4" s="33">
        <f t="shared" si="0"/>
        <v>44440</v>
      </c>
      <c r="H4" s="33">
        <f t="shared" si="0"/>
        <v>44471</v>
      </c>
      <c r="I4" s="33">
        <f t="shared" si="0"/>
        <v>44502</v>
      </c>
      <c r="J4" s="33">
        <f t="shared" si="0"/>
        <v>44533</v>
      </c>
      <c r="K4" s="33">
        <f t="shared" si="0"/>
        <v>44564</v>
      </c>
      <c r="L4" s="33">
        <f t="shared" si="0"/>
        <v>44595</v>
      </c>
      <c r="M4" s="33">
        <f t="shared" si="0"/>
        <v>44626</v>
      </c>
      <c r="N4" s="33">
        <f t="shared" si="0"/>
        <v>44657</v>
      </c>
      <c r="O4" s="33">
        <f t="shared" si="0"/>
        <v>44688</v>
      </c>
      <c r="P4" s="56">
        <f t="shared" si="0"/>
        <v>44719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9" t="s">
        <v>184</v>
      </c>
      <c r="E5" s="328">
        <f>IF(('Rev &amp; Enroll'!$F37*'Rev &amp; Enroll'!$F24)&gt;500000,0.08333,0)</f>
        <v>8.3330000000000001E-2</v>
      </c>
      <c r="F5" s="328">
        <f>IF(('Rev &amp; Enroll'!$F37*'Rev &amp; Enroll'!$F24)&gt;500000,0.08333,0.25)</f>
        <v>8.3330000000000001E-2</v>
      </c>
      <c r="G5" s="328">
        <f>IF(('Rev &amp; Enroll'!$F37*'Rev &amp; Enroll'!$F24)&gt;500000,0.08333,0)</f>
        <v>8.3330000000000001E-2</v>
      </c>
      <c r="H5" s="328">
        <f>IF(('Rev &amp; Enroll'!$F37*'Rev &amp; Enroll'!$F24)&gt;500000,0.08333,0)</f>
        <v>8.3330000000000001E-2</v>
      </c>
      <c r="I5" s="328">
        <f>IF(('Rev &amp; Enroll'!$F37*'Rev &amp; Enroll'!$F24)&gt;500000,0.08333,0.25)</f>
        <v>8.3330000000000001E-2</v>
      </c>
      <c r="J5" s="328">
        <f>IF(('Rev &amp; Enroll'!$F37*'Rev &amp; Enroll'!$F24)&gt;500000,0.08333,0)</f>
        <v>8.3330000000000001E-2</v>
      </c>
      <c r="K5" s="328">
        <f>IF(('Rev &amp; Enroll'!$F37*'Rev &amp; Enroll'!$F24)&gt;500000,0.08333,0)</f>
        <v>8.3330000000000001E-2</v>
      </c>
      <c r="L5" s="328">
        <f>IF(('Rev &amp; Enroll'!$F37*'Rev &amp; Enroll'!$F24)&gt;500000,0.08333,0.25)</f>
        <v>8.3330000000000001E-2</v>
      </c>
      <c r="M5" s="328">
        <f>IF(('Rev &amp; Enroll'!$F37*'Rev &amp; Enroll'!$F24)&gt;500000,0.08333,0)</f>
        <v>8.3330000000000001E-2</v>
      </c>
      <c r="N5" s="328">
        <f>IF(('Rev &amp; Enroll'!$F37*'Rev &amp; Enroll'!$F24)&gt;500000,0.08333,0)</f>
        <v>8.3330000000000001E-2</v>
      </c>
      <c r="O5" s="328">
        <f>IF(('Rev &amp; Enroll'!$F37*'Rev &amp; Enroll'!$F24)&gt;500000,0.08333,0.25)</f>
        <v>8.3330000000000001E-2</v>
      </c>
      <c r="P5" s="328">
        <f>IF(('Rev &amp; Enroll'!$F37*'Rev &amp; Enroll'!$F24)&gt;500000,0.08333,0)</f>
        <v>8.3330000000000001E-2</v>
      </c>
      <c r="Q5" s="223">
        <f>1-SUM(E5:P5)</f>
        <v>3.9999999999928981E-5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200">
        <v>1110</v>
      </c>
      <c r="D8" s="37" t="s">
        <v>0</v>
      </c>
      <c r="E8" s="181">
        <f>+'FY21'!E8*(1+MYP!$G$8)</f>
        <v>31434.48</v>
      </c>
      <c r="F8" s="181">
        <f>+'FY21'!F8*(1+MYP!$G$8)</f>
        <v>31434.48</v>
      </c>
      <c r="G8" s="181">
        <f>+'FY21'!G8*(1+MYP!$G$8)</f>
        <v>31434.48</v>
      </c>
      <c r="H8" s="181">
        <f>+'FY21'!H8*(1+MYP!$G$8)</f>
        <v>31434.48</v>
      </c>
      <c r="I8" s="181">
        <f>+'FY21'!I8*(1+MYP!$G$8)</f>
        <v>31434.48</v>
      </c>
      <c r="J8" s="181">
        <f>+'FY21'!J8*(1+MYP!$G$8)</f>
        <v>31434.48</v>
      </c>
      <c r="K8" s="181">
        <f>+'FY21'!K8*(1+MYP!$G$8)</f>
        <v>31434.48</v>
      </c>
      <c r="L8" s="181">
        <f>+'FY21'!L8*(1+MYP!$G$8)</f>
        <v>31434.48</v>
      </c>
      <c r="M8" s="181">
        <f>+'FY21'!M8*(1+MYP!$G$8)</f>
        <v>31434.48</v>
      </c>
      <c r="N8" s="181">
        <f>+'FY21'!N8*(1+MYP!$G$8)</f>
        <v>31434.48</v>
      </c>
      <c r="O8" s="181">
        <f>+'FY21'!O8*(1+MYP!$G$8)</f>
        <v>31434.48</v>
      </c>
      <c r="P8" s="181">
        <f>+'FY21'!P8*(1+MYP!$G$8)</f>
        <v>31433.222620800003</v>
      </c>
      <c r="Q8" s="186"/>
      <c r="R8" s="187"/>
      <c r="S8" s="188">
        <f>SUM(E8:Q8)</f>
        <v>377212.50262079999</v>
      </c>
      <c r="T8" s="187"/>
      <c r="U8" s="181">
        <f>'FY21'!S8</f>
        <v>359250.00249599997</v>
      </c>
      <c r="V8" s="181">
        <f t="shared" ref="V8:V20" si="1">S8-U8</f>
        <v>17962.500124800019</v>
      </c>
      <c r="W8" s="39"/>
    </row>
    <row r="9" spans="1:23" s="37" customFormat="1" ht="12" x14ac:dyDescent="0.2">
      <c r="A9" s="45"/>
      <c r="C9" s="200">
        <v>1120</v>
      </c>
      <c r="D9" s="37" t="s">
        <v>1</v>
      </c>
      <c r="E9" s="363">
        <f>+'FY21'!E9*(1+MYP!$G$8)</f>
        <v>34530.300000000003</v>
      </c>
      <c r="F9" s="363">
        <f>+'FY21'!F9*(1+MYP!$G$8)</f>
        <v>34530.300000000003</v>
      </c>
      <c r="G9" s="363">
        <f>+'FY21'!G9*(1+MYP!$G$8)</f>
        <v>34530.300000000003</v>
      </c>
      <c r="H9" s="363">
        <f>+'FY21'!H9*(1+MYP!$G$8)</f>
        <v>34530.300000000003</v>
      </c>
      <c r="I9" s="363">
        <f>+'FY21'!I9*(1+MYP!$G$8)</f>
        <v>34530.300000000003</v>
      </c>
      <c r="J9" s="363">
        <f>+'FY21'!J9*(1+MYP!$G$8)</f>
        <v>34530.300000000003</v>
      </c>
      <c r="K9" s="363">
        <f>+'FY21'!K9*(1+MYP!$G$8)</f>
        <v>34530.300000000003</v>
      </c>
      <c r="L9" s="363">
        <f>+'FY21'!L9*(1+MYP!$G$8)</f>
        <v>34530.300000000003</v>
      </c>
      <c r="M9" s="363">
        <f>+'FY21'!M9*(1+MYP!$G$8)</f>
        <v>34530.300000000003</v>
      </c>
      <c r="N9" s="363">
        <f>+'FY21'!N9*(1+MYP!$G$8)</f>
        <v>34530.300000000003</v>
      </c>
      <c r="O9" s="363">
        <f>+'FY21'!O9*(1+MYP!$G$8)</f>
        <v>34530.300000000003</v>
      </c>
      <c r="P9" s="363">
        <f>+'FY21'!P9*(1+MYP!$G$8)</f>
        <v>34528.918788000003</v>
      </c>
      <c r="Q9" s="36"/>
      <c r="R9" s="41"/>
      <c r="S9" s="59">
        <f t="shared" ref="S9:S20" si="2">SUM(E9:Q9)</f>
        <v>414362.21878799994</v>
      </c>
      <c r="T9" s="41"/>
      <c r="U9" s="39">
        <f>'FY21'!S9</f>
        <v>394630.68456000002</v>
      </c>
      <c r="V9" s="39">
        <f t="shared" si="1"/>
        <v>19731.534227999917</v>
      </c>
      <c r="W9" s="39"/>
    </row>
    <row r="10" spans="1:23" s="37" customFormat="1" ht="12" x14ac:dyDescent="0.2">
      <c r="A10" s="45"/>
      <c r="C10" s="200">
        <v>1191</v>
      </c>
      <c r="D10" s="37" t="s">
        <v>2</v>
      </c>
      <c r="E10" s="363">
        <f>+'FY21'!E10*(1+MYP!$G$8)</f>
        <v>119.07</v>
      </c>
      <c r="F10" s="363">
        <f>+'FY21'!F10*(1+MYP!$G$8)</f>
        <v>119.07</v>
      </c>
      <c r="G10" s="363">
        <f>+'FY21'!G10*(1+MYP!$G$8)</f>
        <v>119.07</v>
      </c>
      <c r="H10" s="363">
        <f>+'FY21'!H10*(1+MYP!$G$8)</f>
        <v>119.07</v>
      </c>
      <c r="I10" s="363">
        <f>+'FY21'!I10*(1+MYP!$G$8)</f>
        <v>119.07</v>
      </c>
      <c r="J10" s="363">
        <f>+'FY21'!J10*(1+MYP!$G$8)</f>
        <v>119.07</v>
      </c>
      <c r="K10" s="363">
        <f>+'FY21'!K10*(1+MYP!$G$8)</f>
        <v>119.07</v>
      </c>
      <c r="L10" s="363">
        <f>+'FY21'!L10*(1+MYP!$G$8)</f>
        <v>119.07</v>
      </c>
      <c r="M10" s="363">
        <f>+'FY21'!M10*(1+MYP!$G$8)</f>
        <v>119.07</v>
      </c>
      <c r="N10" s="363">
        <f>+'FY21'!N10*(1+MYP!$G$8)</f>
        <v>119.07</v>
      </c>
      <c r="O10" s="363">
        <f>+'FY21'!O10*(1+MYP!$G$8)</f>
        <v>119.07</v>
      </c>
      <c r="P10" s="363">
        <f>+'FY21'!P10*(1+MYP!$G$8)</f>
        <v>119.06523720000001</v>
      </c>
      <c r="Q10" s="36"/>
      <c r="R10" s="41"/>
      <c r="S10" s="59">
        <f t="shared" si="2"/>
        <v>1428.8352371999995</v>
      </c>
      <c r="T10" s="41"/>
      <c r="U10" s="39">
        <f>'FY21'!S10</f>
        <v>1360.795464</v>
      </c>
      <c r="V10" s="39">
        <f t="shared" si="1"/>
        <v>68.039773199999445</v>
      </c>
      <c r="W10" s="39"/>
    </row>
    <row r="11" spans="1:23" s="37" customFormat="1" ht="12" x14ac:dyDescent="0.2">
      <c r="A11" s="45"/>
      <c r="C11" s="200">
        <v>1192</v>
      </c>
      <c r="D11" s="37" t="s">
        <v>3</v>
      </c>
      <c r="E11" s="363">
        <f>+'FY21'!E11*(1+MYP!$G$8)</f>
        <v>3691.17</v>
      </c>
      <c r="F11" s="363">
        <f>+'FY21'!F11*(1+MYP!$G$8)</f>
        <v>3691.17</v>
      </c>
      <c r="G11" s="363">
        <f>+'FY21'!G11*(1+MYP!$G$8)</f>
        <v>3691.17</v>
      </c>
      <c r="H11" s="363">
        <f>+'FY21'!H11*(1+MYP!$G$8)</f>
        <v>3691.17</v>
      </c>
      <c r="I11" s="363">
        <f>+'FY21'!I11*(1+MYP!$G$8)</f>
        <v>3691.17</v>
      </c>
      <c r="J11" s="363">
        <f>+'FY21'!J11*(1+MYP!$G$8)</f>
        <v>3691.17</v>
      </c>
      <c r="K11" s="363">
        <f>+'FY21'!K11*(1+MYP!$G$8)</f>
        <v>3691.17</v>
      </c>
      <c r="L11" s="363">
        <f>+'FY21'!L11*(1+MYP!$G$8)</f>
        <v>3691.17</v>
      </c>
      <c r="M11" s="363">
        <f>+'FY21'!M11*(1+MYP!$G$8)</f>
        <v>3691.17</v>
      </c>
      <c r="N11" s="363">
        <f>+'FY21'!N11*(1+MYP!$G$8)</f>
        <v>3691.17</v>
      </c>
      <c r="O11" s="363">
        <f>+'FY21'!O11*(1+MYP!$G$8)</f>
        <v>3691.17</v>
      </c>
      <c r="P11" s="363">
        <f>+'FY21'!P11*(1+MYP!$G$8)</f>
        <v>3691.0223532000005</v>
      </c>
      <c r="Q11" s="98"/>
      <c r="R11" s="41"/>
      <c r="S11" s="59">
        <f t="shared" si="2"/>
        <v>44293.89235319999</v>
      </c>
      <c r="T11" s="41"/>
      <c r="U11" s="39">
        <f>'FY21'!S11</f>
        <v>42184.659384000006</v>
      </c>
      <c r="V11" s="39">
        <f t="shared" si="1"/>
        <v>2109.2329691999839</v>
      </c>
      <c r="W11" s="39"/>
    </row>
    <row r="12" spans="1:23" s="37" customFormat="1" ht="12" x14ac:dyDescent="0.2">
      <c r="A12" s="45"/>
      <c r="C12" s="200">
        <v>3110</v>
      </c>
      <c r="D12" s="37" t="s">
        <v>73</v>
      </c>
      <c r="E12" s="363">
        <f>+'FY21'!E12*(1+MYP!$G$8)</f>
        <v>49294.979999999996</v>
      </c>
      <c r="F12" s="363">
        <f>+'FY21'!F12*(1+MYP!$G$8)</f>
        <v>49294.979999999996</v>
      </c>
      <c r="G12" s="363">
        <f>+'FY21'!G12*(1+MYP!$G$8)</f>
        <v>49294.979999999996</v>
      </c>
      <c r="H12" s="363">
        <f>+'FY21'!H12*(1+MYP!$G$8)</f>
        <v>49294.979999999996</v>
      </c>
      <c r="I12" s="363">
        <f>+'FY21'!I12*(1+MYP!$G$8)</f>
        <v>49294.979999999996</v>
      </c>
      <c r="J12" s="363">
        <f>+'FY21'!J12*(1+MYP!$G$8)</f>
        <v>49294.979999999996</v>
      </c>
      <c r="K12" s="363">
        <f>+'FY21'!K12*(1+MYP!$G$8)</f>
        <v>49294.979999999996</v>
      </c>
      <c r="L12" s="363">
        <f>+'FY21'!L12*(1+MYP!$G$8)</f>
        <v>49294.979999999996</v>
      </c>
      <c r="M12" s="363">
        <f>+'FY21'!M12*(1+MYP!$G$8)</f>
        <v>49294.979999999996</v>
      </c>
      <c r="N12" s="363">
        <f>+'FY21'!N12*(1+MYP!$G$8)</f>
        <v>49294.979999999996</v>
      </c>
      <c r="O12" s="363">
        <f>+'FY21'!O12*(1+MYP!$G$8)</f>
        <v>49294.979999999996</v>
      </c>
      <c r="P12" s="363">
        <f>+'FY21'!P12*(1+MYP!$G$8)</f>
        <v>49293.008200800003</v>
      </c>
      <c r="Q12" s="98"/>
      <c r="R12" s="41"/>
      <c r="S12" s="59">
        <f t="shared" si="2"/>
        <v>591537.78820079996</v>
      </c>
      <c r="T12" s="41"/>
      <c r="U12" s="39">
        <f>'FY21'!S12</f>
        <v>563369.32209599984</v>
      </c>
      <c r="V12" s="39">
        <f t="shared" si="1"/>
        <v>28168.466104800114</v>
      </c>
      <c r="W12" s="39"/>
    </row>
    <row r="13" spans="1:23" s="37" customFormat="1" ht="12" x14ac:dyDescent="0.2">
      <c r="A13" s="45"/>
      <c r="C13" s="38"/>
      <c r="E13" s="50">
        <f>SUBTOTAL(9,E8:E12)</f>
        <v>119070</v>
      </c>
      <c r="F13" s="50">
        <f t="shared" ref="F13:S13" si="3">SUBTOTAL(9,F8:F12)</f>
        <v>119070</v>
      </c>
      <c r="G13" s="50">
        <f t="shared" si="3"/>
        <v>119070</v>
      </c>
      <c r="H13" s="50">
        <f t="shared" si="3"/>
        <v>119070</v>
      </c>
      <c r="I13" s="50">
        <f t="shared" si="3"/>
        <v>119070</v>
      </c>
      <c r="J13" s="50">
        <f t="shared" si="3"/>
        <v>119070</v>
      </c>
      <c r="K13" s="50">
        <f t="shared" si="3"/>
        <v>119070</v>
      </c>
      <c r="L13" s="50">
        <f t="shared" si="3"/>
        <v>119070</v>
      </c>
      <c r="M13" s="50">
        <f t="shared" si="3"/>
        <v>119070</v>
      </c>
      <c r="N13" s="50">
        <f t="shared" si="3"/>
        <v>119070</v>
      </c>
      <c r="O13" s="50">
        <f t="shared" si="3"/>
        <v>119070</v>
      </c>
      <c r="P13" s="50">
        <f t="shared" si="3"/>
        <v>119065.2372</v>
      </c>
      <c r="Q13" s="99"/>
      <c r="R13" s="41"/>
      <c r="S13" s="61">
        <f t="shared" si="3"/>
        <v>1428835.2371999999</v>
      </c>
      <c r="T13" s="41"/>
      <c r="U13" s="50">
        <f t="shared" ref="U13" si="4">SUBTOTAL(9,U8:U12)</f>
        <v>1360795.4639999997</v>
      </c>
      <c r="V13" s="50">
        <f t="shared" ref="V13" si="5">SUBTOTAL(9,V8:V12)</f>
        <v>68039.773200000025</v>
      </c>
      <c r="W13" s="39"/>
    </row>
    <row r="14" spans="1:23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200">
        <v>3115</v>
      </c>
      <c r="D15" s="37" t="s">
        <v>5</v>
      </c>
      <c r="E15" s="363">
        <f>+'FY21'!E15*(1+MYP!$G$8)</f>
        <v>0</v>
      </c>
      <c r="F15" s="363">
        <f>+'FY21'!F15*(1+MYP!$G$8)</f>
        <v>0</v>
      </c>
      <c r="G15" s="363">
        <f>+'FY21'!G15*(1+MYP!$G$8)</f>
        <v>0</v>
      </c>
      <c r="H15" s="363">
        <f>+'FY21'!H15*(1+MYP!$G$8)</f>
        <v>0</v>
      </c>
      <c r="I15" s="363">
        <f>+'FY21'!I15*(1+MYP!$G$8)</f>
        <v>0</v>
      </c>
      <c r="J15" s="363">
        <f>+'FY21'!J15*(1+MYP!$G$8)</f>
        <v>0</v>
      </c>
      <c r="K15" s="363">
        <f>+'FY21'!K15*(1+MYP!$G$8)</f>
        <v>0</v>
      </c>
      <c r="L15" s="363">
        <f>+'FY21'!L15*(1+MYP!$G$8)</f>
        <v>0</v>
      </c>
      <c r="M15" s="363">
        <f>+'FY21'!M15*(1+MYP!$G$8)</f>
        <v>0</v>
      </c>
      <c r="N15" s="363">
        <f>+'FY21'!N15*(1+MYP!$G$8)</f>
        <v>0</v>
      </c>
      <c r="O15" s="363">
        <f>+'FY21'!O15*(1+MYP!$G$8)</f>
        <v>0</v>
      </c>
      <c r="P15" s="363">
        <f>+'FY21'!P15*(1+MYP!$G$8)</f>
        <v>0</v>
      </c>
      <c r="Q15" s="100"/>
      <c r="R15" s="41"/>
      <c r="S15" s="59">
        <f>SUM(E15:Q15)</f>
        <v>0</v>
      </c>
      <c r="T15" s="41"/>
      <c r="U15" s="39">
        <f>'FY21'!S15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200">
        <v>3200</v>
      </c>
      <c r="D16" s="37" t="s">
        <v>6</v>
      </c>
      <c r="E16" s="363">
        <f>+'FY21'!E16*(1+MYP!$G$8)</f>
        <v>0</v>
      </c>
      <c r="F16" s="363">
        <f>+'FY21'!F16*(1+MYP!$G$8)</f>
        <v>0</v>
      </c>
      <c r="G16" s="363">
        <f>+'FY21'!G16*(1+MYP!$G$8)</f>
        <v>0</v>
      </c>
      <c r="H16" s="363">
        <f>+'FY21'!H16*(1+MYP!$G$8)</f>
        <v>0</v>
      </c>
      <c r="I16" s="363">
        <f>+'FY21'!I16*(1+MYP!$G$8)</f>
        <v>0</v>
      </c>
      <c r="J16" s="363">
        <f>+'FY21'!J16*(1+MYP!$G$8)</f>
        <v>0</v>
      </c>
      <c r="K16" s="363">
        <f>+'FY21'!K16*(1+MYP!$G$8)</f>
        <v>0</v>
      </c>
      <c r="L16" s="363">
        <f>+'FY21'!L16*(1+MYP!$G$8)</f>
        <v>0</v>
      </c>
      <c r="M16" s="363">
        <v>0</v>
      </c>
      <c r="N16" s="363">
        <f>+'FY21'!N16*(1+MYP!$G$8)</f>
        <v>0</v>
      </c>
      <c r="O16" s="363">
        <f>+'FY21'!O16*(1+MYP!$G$8)</f>
        <v>0</v>
      </c>
      <c r="P16" s="363">
        <f>+'FY21'!P16*(1+MYP!$G$8)</f>
        <v>0</v>
      </c>
      <c r="Q16" s="100"/>
      <c r="R16" s="41"/>
      <c r="S16" s="59">
        <f t="shared" si="2"/>
        <v>0</v>
      </c>
      <c r="T16" s="41"/>
      <c r="U16" s="39">
        <f>'FY21'!S16</f>
        <v>384</v>
      </c>
      <c r="V16" s="39">
        <f t="shared" si="1"/>
        <v>-384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384</v>
      </c>
      <c r="V17" s="50">
        <f t="shared" si="6"/>
        <v>-384</v>
      </c>
      <c r="W17" s="39"/>
    </row>
    <row r="18" spans="1:23" s="37" customFormat="1" ht="12" x14ac:dyDescent="0.2">
      <c r="A18" s="45"/>
      <c r="C18" s="49" t="s">
        <v>148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200">
        <v>4500</v>
      </c>
      <c r="D19" s="37" t="s">
        <v>6</v>
      </c>
      <c r="E19" s="363">
        <f>+'FY21'!E19*(1+MYP!$G$8)</f>
        <v>0</v>
      </c>
      <c r="F19" s="363">
        <f>+'FY21'!F19*(1+MYP!$G$8)</f>
        <v>0</v>
      </c>
      <c r="G19" s="363">
        <f>+'FY21'!G19*(1+MYP!$G$8)</f>
        <v>0</v>
      </c>
      <c r="H19" s="363">
        <f>+'FY21'!H19*(1+MYP!$G$8)</f>
        <v>0</v>
      </c>
      <c r="I19" s="363">
        <f>+'FY21'!I19*(1+MYP!$G$8)</f>
        <v>0</v>
      </c>
      <c r="J19" s="363">
        <f>+'FY21'!J19*(1+MYP!$G$8)</f>
        <v>0</v>
      </c>
      <c r="K19" s="363">
        <f>+'FY21'!K19*(1+MYP!$G$8)</f>
        <v>0</v>
      </c>
      <c r="L19" s="363">
        <f>+'FY21'!L19*(1+MYP!$G$8)</f>
        <v>0</v>
      </c>
      <c r="M19" s="363">
        <f>+'FY21'!M19*(1+MYP!$G$8)</f>
        <v>0</v>
      </c>
      <c r="N19" s="363">
        <f>+'FY21'!N19*(1+MYP!$G$8)</f>
        <v>0</v>
      </c>
      <c r="O19" s="363">
        <f>+'FY21'!O19*(1+MYP!$G$8)</f>
        <v>0</v>
      </c>
      <c r="P19" s="363">
        <f>+'FY21'!P19*(1+MYP!$G$8)</f>
        <v>0</v>
      </c>
      <c r="Q19" s="100"/>
      <c r="R19" s="41"/>
      <c r="S19" s="59">
        <f t="shared" si="2"/>
        <v>0</v>
      </c>
      <c r="T19" s="41"/>
      <c r="U19" s="39">
        <f>'FY21'!S19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200">
        <v>4571</v>
      </c>
      <c r="D20" s="37" t="s">
        <v>7</v>
      </c>
      <c r="E20" s="363">
        <f>+'FY21'!E20*(1+MYP!$G$8)</f>
        <v>0</v>
      </c>
      <c r="F20" s="363">
        <f>+'FY21'!F20*(1+MYP!$G$8)</f>
        <v>0</v>
      </c>
      <c r="G20" s="363">
        <f>+'FY21'!G20*(1+MYP!$G$8)</f>
        <v>0</v>
      </c>
      <c r="H20" s="363">
        <f>+'FY21'!H20*(1+MYP!$G$8)</f>
        <v>0</v>
      </c>
      <c r="I20" s="363">
        <f>+'FY21'!I20*(1+MYP!$G$8)</f>
        <v>0</v>
      </c>
      <c r="J20" s="363">
        <f>+'FY21'!J20*(1+MYP!$G$8)</f>
        <v>0</v>
      </c>
      <c r="K20" s="363">
        <f>+'FY21'!K20*(1+MYP!$G$8)</f>
        <v>0</v>
      </c>
      <c r="L20" s="363">
        <f>+'FY21'!L20*(1+MYP!$G$8)</f>
        <v>0</v>
      </c>
      <c r="M20" s="363">
        <f>+'FY21'!M20*(1+MYP!$G$8)</f>
        <v>0</v>
      </c>
      <c r="N20" s="363">
        <f>+'FY21'!N20*(1+MYP!$G$8)</f>
        <v>0</v>
      </c>
      <c r="O20" s="363">
        <f>+'FY21'!O20*(1+MYP!$G$8)</f>
        <v>0</v>
      </c>
      <c r="P20" s="363">
        <f>+'FY21'!P20*(1+MYP!$G$8)</f>
        <v>0</v>
      </c>
      <c r="Q20" s="100"/>
      <c r="R20" s="41"/>
      <c r="S20" s="62">
        <f t="shared" si="2"/>
        <v>0</v>
      </c>
      <c r="T20" s="41"/>
      <c r="U20" s="41">
        <f>'FY21'!S20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185</v>
      </c>
      <c r="E21" s="363">
        <f>+'FY21'!E21*(1+MYP!$G$8)</f>
        <v>0</v>
      </c>
      <c r="F21" s="363">
        <f>+'FY21'!F21*(1+MYP!$G$8)</f>
        <v>0</v>
      </c>
      <c r="G21" s="363">
        <f>+'FY21'!G21*(1+MYP!$G$8)</f>
        <v>0</v>
      </c>
      <c r="H21" s="363">
        <f>+'FY21'!H21*(1+MYP!$G$8)</f>
        <v>0</v>
      </c>
      <c r="I21" s="363">
        <f>+'FY21'!I21*(1+MYP!$G$8)</f>
        <v>0</v>
      </c>
      <c r="J21" s="363">
        <f>+'FY21'!J21*(1+MYP!$G$8)</f>
        <v>0</v>
      </c>
      <c r="K21" s="363">
        <f>+'FY21'!K21*(1+MYP!$G$8)</f>
        <v>0</v>
      </c>
      <c r="L21" s="363">
        <f>+'FY21'!L21*(1+MYP!$G$8)</f>
        <v>0</v>
      </c>
      <c r="M21" s="363">
        <f>+'FY21'!M21*(1+MYP!$G$8)</f>
        <v>0</v>
      </c>
      <c r="N21" s="363">
        <f>+'FY21'!N21*(1+MYP!$G$8)</f>
        <v>0</v>
      </c>
      <c r="O21" s="363">
        <f>+'FY21'!O21*(1+MYP!$G$8)</f>
        <v>0</v>
      </c>
      <c r="P21" s="363">
        <f>+'FY21'!P21*(1+MYP!$G$8)</f>
        <v>0</v>
      </c>
      <c r="Q21" s="100"/>
      <c r="R21" s="41"/>
      <c r="S21" s="62">
        <f t="shared" ref="S21" si="7">SUM(E21:Q21)</f>
        <v>0</v>
      </c>
      <c r="T21" s="41"/>
      <c r="U21" s="41">
        <f>'FY21'!S21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149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200">
        <v>1790</v>
      </c>
      <c r="D24" s="37" t="s">
        <v>4</v>
      </c>
      <c r="E24" s="363">
        <f>+'FY21'!E24*(1+MYP!$G$8)</f>
        <v>0</v>
      </c>
      <c r="F24" s="363">
        <f>+'FY21'!F24*(1+MYP!$G$8)</f>
        <v>0</v>
      </c>
      <c r="G24" s="363">
        <f>+'FY21'!G24*(1+MYP!$G$8)</f>
        <v>0</v>
      </c>
      <c r="H24" s="363">
        <f>+'FY21'!H24*(1+MYP!$G$8)</f>
        <v>0</v>
      </c>
      <c r="I24" s="363">
        <f>+'FY21'!I24*(1+MYP!$G$8)</f>
        <v>0</v>
      </c>
      <c r="J24" s="363">
        <f>+'FY21'!J24*(1+MYP!$G$8)</f>
        <v>0</v>
      </c>
      <c r="K24" s="363">
        <f>+'FY21'!K24*(1+MYP!$G$8)</f>
        <v>0</v>
      </c>
      <c r="L24" s="363">
        <f>+'FY21'!L24*(1+MYP!$G$8)</f>
        <v>0</v>
      </c>
      <c r="M24" s="363">
        <f>+'FY21'!M24*(1+MYP!$G$8)</f>
        <v>0</v>
      </c>
      <c r="N24" s="363">
        <f>+'FY21'!N24*(1+MYP!$G$8)</f>
        <v>0</v>
      </c>
      <c r="O24" s="363">
        <f>+'FY21'!O24*(1+MYP!$G$8)</f>
        <v>0</v>
      </c>
      <c r="P24" s="363">
        <f>+'FY21'!P24*(1+MYP!$G$8)</f>
        <v>0</v>
      </c>
      <c r="Q24" s="100"/>
      <c r="R24" s="41"/>
      <c r="S24" s="59">
        <f>SUM(E24:Q24)</f>
        <v>0</v>
      </c>
      <c r="T24" s="41"/>
      <c r="U24" s="39">
        <f>'FY21'!S24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119070</v>
      </c>
      <c r="F27" s="43">
        <f t="shared" si="13"/>
        <v>119070</v>
      </c>
      <c r="G27" s="43">
        <f t="shared" si="13"/>
        <v>119070</v>
      </c>
      <c r="H27" s="43">
        <f t="shared" si="13"/>
        <v>119070</v>
      </c>
      <c r="I27" s="43">
        <f t="shared" si="13"/>
        <v>119070</v>
      </c>
      <c r="J27" s="43">
        <f t="shared" si="13"/>
        <v>119070</v>
      </c>
      <c r="K27" s="43">
        <f t="shared" si="13"/>
        <v>119070</v>
      </c>
      <c r="L27" s="43">
        <f t="shared" si="13"/>
        <v>119070</v>
      </c>
      <c r="M27" s="43">
        <f t="shared" si="13"/>
        <v>119070</v>
      </c>
      <c r="N27" s="43">
        <f t="shared" si="13"/>
        <v>119070</v>
      </c>
      <c r="O27" s="43">
        <f t="shared" si="13"/>
        <v>119070</v>
      </c>
      <c r="P27" s="43">
        <f t="shared" si="13"/>
        <v>119065.2372</v>
      </c>
      <c r="Q27" s="197"/>
      <c r="R27" s="48"/>
      <c r="S27" s="60">
        <f>SUBTOTAL(9,S8:S26)</f>
        <v>1428835.2371999999</v>
      </c>
      <c r="T27" s="48"/>
      <c r="U27" s="43">
        <f>SUBTOTAL(9,U8:U26)</f>
        <v>1361179.4639999997</v>
      </c>
      <c r="V27" s="43">
        <f>SUBTOTAL(9,V8:V26)</f>
        <v>67655.773200000025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200">
        <v>6111</v>
      </c>
      <c r="D31" s="37" t="s">
        <v>191</v>
      </c>
      <c r="E31" s="39">
        <f>+'FY21'!E31*(1+MYP!$G$9)</f>
        <v>9302.6180250000016</v>
      </c>
      <c r="F31" s="39">
        <f>+'FY21'!F31*(1+MYP!$G$9)</f>
        <v>9302.6180250000016</v>
      </c>
      <c r="G31" s="39">
        <f>+'FY21'!G31*(1+MYP!$G$9)</f>
        <v>9302.6180250000016</v>
      </c>
      <c r="H31" s="39">
        <f>+'FY21'!H31*(1+MYP!$G$9)</f>
        <v>9302.6180250000016</v>
      </c>
      <c r="I31" s="39">
        <f>+'FY21'!I31*(1+MYP!$G$9)</f>
        <v>9302.6180250000016</v>
      </c>
      <c r="J31" s="39">
        <f>+'FY21'!J31*(1+MYP!$G$9)</f>
        <v>9302.6180250000016</v>
      </c>
      <c r="K31" s="39">
        <f>+'FY21'!K31*(1+MYP!$G$9)</f>
        <v>9302.6180250000016</v>
      </c>
      <c r="L31" s="39">
        <f>+'FY21'!L31*(1+MYP!$G$9)</f>
        <v>9302.6180250000016</v>
      </c>
      <c r="M31" s="39">
        <f>+'FY21'!M31*(1+MYP!$G$9)</f>
        <v>9302.6180250000016</v>
      </c>
      <c r="N31" s="39">
        <f>+'FY21'!N31*(1+MYP!$G$9)</f>
        <v>9302.6180250000016</v>
      </c>
      <c r="O31" s="39">
        <f>+'FY21'!O31*(1+MYP!$G$9)</f>
        <v>9302.6180250000016</v>
      </c>
      <c r="P31" s="39">
        <f>+'FY21'!P31*(1+MYP!$G$9)</f>
        <v>9302.6180250000016</v>
      </c>
      <c r="Q31" s="100"/>
      <c r="R31" s="41"/>
      <c r="S31" s="59">
        <f t="shared" ref="S31:S40" si="14">SUM(E31:Q31)</f>
        <v>111631.41630000003</v>
      </c>
      <c r="T31" s="41"/>
      <c r="U31" s="39">
        <f>'FY21'!S31</f>
        <v>109442.56499999999</v>
      </c>
      <c r="V31" s="39">
        <f>U31-S31</f>
        <v>-2188.8513000000385</v>
      </c>
      <c r="W31" s="39"/>
    </row>
    <row r="32" spans="1:23" s="37" customFormat="1" ht="12" x14ac:dyDescent="0.2">
      <c r="C32" s="200">
        <v>6114</v>
      </c>
      <c r="D32" s="37" t="s">
        <v>192</v>
      </c>
      <c r="E32" s="39">
        <f>+'FY21'!E32*(1+MYP!$G$9)</f>
        <v>8362.40625</v>
      </c>
      <c r="F32" s="39">
        <f>+'FY21'!F32*(1+MYP!$G$9)</f>
        <v>8362.40625</v>
      </c>
      <c r="G32" s="39">
        <f>+'FY21'!G32*(1+MYP!$G$9)</f>
        <v>8362.40625</v>
      </c>
      <c r="H32" s="39">
        <f>+'FY21'!H32*(1+MYP!$G$9)</f>
        <v>8362.40625</v>
      </c>
      <c r="I32" s="39">
        <f>+'FY21'!I32*(1+MYP!$G$9)</f>
        <v>8362.40625</v>
      </c>
      <c r="J32" s="39">
        <f>+'FY21'!J32*(1+MYP!$G$9)</f>
        <v>8362.40625</v>
      </c>
      <c r="K32" s="39">
        <f>+'FY21'!K32*(1+MYP!$G$9)</f>
        <v>8362.40625</v>
      </c>
      <c r="L32" s="39">
        <f>+'FY21'!L32*(1+MYP!$G$9)</f>
        <v>8362.40625</v>
      </c>
      <c r="M32" s="39">
        <f>+'FY21'!M32*(1+MYP!$G$9)</f>
        <v>8362.40625</v>
      </c>
      <c r="N32" s="39">
        <f>+'FY21'!N32*(1+MYP!$G$9)</f>
        <v>8362.40625</v>
      </c>
      <c r="O32" s="39">
        <f>+'FY21'!O32*(1+MYP!$G$9)</f>
        <v>8362.40625</v>
      </c>
      <c r="P32" s="39">
        <f>+'FY21'!P32*(1+MYP!$G$9)</f>
        <v>8362.40625</v>
      </c>
      <c r="Q32" s="100"/>
      <c r="R32" s="41"/>
      <c r="S32" s="59">
        <f t="shared" si="14"/>
        <v>100348.875</v>
      </c>
      <c r="T32" s="41"/>
      <c r="U32" s="39">
        <f>'FY21'!S32</f>
        <v>98381.25</v>
      </c>
      <c r="V32" s="39">
        <f t="shared" ref="V32:V40" si="15">U32-S32</f>
        <v>-1967.625</v>
      </c>
      <c r="W32" s="39"/>
    </row>
    <row r="33" spans="3:23" s="37" customFormat="1" ht="12" x14ac:dyDescent="0.2">
      <c r="C33" s="200">
        <v>6117</v>
      </c>
      <c r="D33" s="37" t="s">
        <v>228</v>
      </c>
      <c r="E33" s="39">
        <f>+'FY21'!E33*(1+MYP!$G$9)</f>
        <v>3916.8917999999999</v>
      </c>
      <c r="F33" s="39">
        <f>+'FY21'!F33*(1+MYP!$G$9)</f>
        <v>3916.8917999999999</v>
      </c>
      <c r="G33" s="39">
        <f>+'FY21'!G33*(1+MYP!$G$9)</f>
        <v>3916.8917999999999</v>
      </c>
      <c r="H33" s="39">
        <f>+'FY21'!H33*(1+MYP!$G$9)</f>
        <v>3916.8917999999999</v>
      </c>
      <c r="I33" s="39">
        <f>+'FY21'!I33*(1+MYP!$G$9)</f>
        <v>3916.8917999999999</v>
      </c>
      <c r="J33" s="39">
        <f>+'FY21'!J33*(1+MYP!$G$9)</f>
        <v>3916.8917999999999</v>
      </c>
      <c r="K33" s="39">
        <f>+'FY21'!K33*(1+MYP!$G$9)</f>
        <v>3916.8917999999999</v>
      </c>
      <c r="L33" s="39">
        <f>+'FY21'!L33*(1+MYP!$G$9)</f>
        <v>3916.8917999999999</v>
      </c>
      <c r="M33" s="39">
        <f>+'FY21'!M33*(1+MYP!$G$9)</f>
        <v>3916.8917999999999</v>
      </c>
      <c r="N33" s="39">
        <f>+'FY21'!N33*(1+MYP!$G$9)</f>
        <v>3916.8917999999999</v>
      </c>
      <c r="O33" s="39">
        <f>+'FY21'!O33*(1+MYP!$G$9)</f>
        <v>3916.8917999999999</v>
      </c>
      <c r="P33" s="39">
        <f>+'FY21'!P33*(1+MYP!$G$9)</f>
        <v>3916.8917999999999</v>
      </c>
      <c r="Q33" s="100"/>
      <c r="R33" s="41"/>
      <c r="S33" s="59">
        <f t="shared" si="14"/>
        <v>47002.701599999993</v>
      </c>
      <c r="T33" s="41"/>
      <c r="U33" s="39">
        <f>'FY21'!S33</f>
        <v>46081.079999999987</v>
      </c>
      <c r="V33" s="39">
        <f t="shared" si="15"/>
        <v>-921.62160000000586</v>
      </c>
      <c r="W33" s="39"/>
    </row>
    <row r="34" spans="3:23" s="37" customFormat="1" ht="12" x14ac:dyDescent="0.2">
      <c r="C34" s="200">
        <v>6127</v>
      </c>
      <c r="D34" s="37" t="s">
        <v>229</v>
      </c>
      <c r="E34" s="39">
        <f>+'FY21'!E34*(1+MYP!$G$9)</f>
        <v>3359.2000000000003</v>
      </c>
      <c r="F34" s="39">
        <f>+'FY21'!F34*(1+MYP!$G$9)</f>
        <v>3359.2000000000003</v>
      </c>
      <c r="G34" s="39">
        <f>+'FY21'!G34*(1+MYP!$G$9)</f>
        <v>3359.2000000000003</v>
      </c>
      <c r="H34" s="39">
        <f>+'FY21'!H34*(1+MYP!$G$9)</f>
        <v>3359.2000000000003</v>
      </c>
      <c r="I34" s="39">
        <f>+'FY21'!I34*(1+MYP!$G$9)</f>
        <v>3359.2000000000003</v>
      </c>
      <c r="J34" s="39">
        <f>+'FY21'!J34*(1+MYP!$G$9)</f>
        <v>3359.2000000000003</v>
      </c>
      <c r="K34" s="39">
        <f>+'FY21'!K34*(1+MYP!$G$9)</f>
        <v>3359.2000000000003</v>
      </c>
      <c r="L34" s="39">
        <f>+'FY21'!L34*(1+MYP!$G$9)</f>
        <v>3359.2000000000003</v>
      </c>
      <c r="M34" s="39">
        <f>+'FY21'!M34*(1+MYP!$G$9)</f>
        <v>3359.2000000000003</v>
      </c>
      <c r="N34" s="39">
        <f>+'FY21'!N34*(1+MYP!$G$9)</f>
        <v>3359.2000000000003</v>
      </c>
      <c r="O34" s="39">
        <f>+'FY21'!O34*(1+MYP!$G$9)</f>
        <v>3359.2000000000003</v>
      </c>
      <c r="P34" s="39">
        <f>+'FY21'!P34*(1+MYP!$G$9)</f>
        <v>3359.2000000000003</v>
      </c>
      <c r="Q34" s="100"/>
      <c r="R34" s="41"/>
      <c r="S34" s="59">
        <f t="shared" si="14"/>
        <v>40310.399999999994</v>
      </c>
      <c r="T34" s="41"/>
      <c r="U34" s="39">
        <f>'FY21'!S34</f>
        <v>39520</v>
      </c>
      <c r="V34" s="39">
        <f t="shared" si="15"/>
        <v>-790.39999999999418</v>
      </c>
      <c r="W34" s="39"/>
    </row>
    <row r="35" spans="3:23" s="37" customFormat="1" ht="12" x14ac:dyDescent="0.2">
      <c r="C35" s="200">
        <v>6151</v>
      </c>
      <c r="D35" s="37" t="s">
        <v>189</v>
      </c>
      <c r="E35" s="39">
        <f>+'FY21'!E35*(1+MYP!$G$9)</f>
        <v>0</v>
      </c>
      <c r="F35" s="39">
        <f>+'FY21'!F35*(1+MYP!$G$9)</f>
        <v>0</v>
      </c>
      <c r="G35" s="39">
        <f>+'FY21'!G35*(1+MYP!$G$9)</f>
        <v>1530</v>
      </c>
      <c r="H35" s="39">
        <f>+'FY21'!H35*(1+MYP!$G$9)</f>
        <v>1530</v>
      </c>
      <c r="I35" s="39">
        <f>+'FY21'!I35*(1+MYP!$G$9)</f>
        <v>0</v>
      </c>
      <c r="J35" s="39">
        <f>+'FY21'!J35*(1+MYP!$G$9)</f>
        <v>0</v>
      </c>
      <c r="K35" s="39">
        <f>+'FY21'!K35*(1+MYP!$G$9)</f>
        <v>0</v>
      </c>
      <c r="L35" s="39">
        <f>+'FY21'!L35*(1+MYP!$G$9)</f>
        <v>1530</v>
      </c>
      <c r="M35" s="39">
        <f>+'FY21'!M35*(1+MYP!$G$9)</f>
        <v>1530</v>
      </c>
      <c r="N35" s="39">
        <f>+'FY21'!N35*(1+MYP!$G$9)</f>
        <v>0</v>
      </c>
      <c r="O35" s="39">
        <f>+'FY21'!O35*(1+MYP!$G$9)</f>
        <v>0</v>
      </c>
      <c r="P35" s="39">
        <f>+'FY21'!P35*(1+MYP!$G$9)</f>
        <v>0</v>
      </c>
      <c r="Q35" s="100"/>
      <c r="R35" s="41"/>
      <c r="S35" s="59">
        <f t="shared" si="14"/>
        <v>6120</v>
      </c>
      <c r="T35" s="41"/>
      <c r="U35" s="39">
        <f>'FY21'!S35</f>
        <v>6000</v>
      </c>
      <c r="V35" s="39">
        <f t="shared" si="15"/>
        <v>-120</v>
      </c>
      <c r="W35" s="39"/>
    </row>
    <row r="36" spans="3:23" s="37" customFormat="1" ht="12" x14ac:dyDescent="0.2">
      <c r="C36" s="200">
        <v>6154</v>
      </c>
      <c r="D36" s="37" t="s">
        <v>190</v>
      </c>
      <c r="E36" s="39">
        <f>+'FY21'!E36*(1+MYP!$G$9)</f>
        <v>0</v>
      </c>
      <c r="F36" s="39">
        <f>+'FY21'!F36*(1+MYP!$G$9)</f>
        <v>0</v>
      </c>
      <c r="G36" s="39">
        <f>+'FY21'!G36*(1+MYP!$G$9)</f>
        <v>947.58</v>
      </c>
      <c r="H36" s="39">
        <f>+'FY21'!H36*(1+MYP!$G$9)</f>
        <v>0</v>
      </c>
      <c r="I36" s="39">
        <f>+'FY21'!I36*(1+MYP!$G$9)</f>
        <v>947.58</v>
      </c>
      <c r="J36" s="39">
        <f>+'FY21'!J36*(1+MYP!$G$9)</f>
        <v>0</v>
      </c>
      <c r="K36" s="39">
        <f>+'FY21'!K36*(1+MYP!$G$9)</f>
        <v>947.58</v>
      </c>
      <c r="L36" s="39">
        <f>+'FY21'!L36*(1+MYP!$G$9)</f>
        <v>0</v>
      </c>
      <c r="M36" s="39">
        <f>+'FY21'!M36*(1+MYP!$G$9)</f>
        <v>947.58</v>
      </c>
      <c r="N36" s="39">
        <f>+'FY21'!N36*(1+MYP!$G$9)</f>
        <v>947.58</v>
      </c>
      <c r="O36" s="39">
        <f>+'FY21'!O36*(1+MYP!$G$9)</f>
        <v>0</v>
      </c>
      <c r="P36" s="39">
        <f>+'FY21'!P36*(1+MYP!$G$9)</f>
        <v>2295</v>
      </c>
      <c r="Q36" s="100"/>
      <c r="R36" s="41"/>
      <c r="S36" s="59">
        <f t="shared" si="14"/>
        <v>7032.9000000000005</v>
      </c>
      <c r="T36" s="41"/>
      <c r="U36" s="39">
        <f>'FY21'!S36</f>
        <v>6895</v>
      </c>
      <c r="V36" s="39">
        <f t="shared" si="15"/>
        <v>-137.90000000000055</v>
      </c>
      <c r="W36" s="39"/>
    </row>
    <row r="37" spans="3:23" s="37" customFormat="1" ht="12" x14ac:dyDescent="0.2">
      <c r="C37" s="200">
        <v>6157</v>
      </c>
      <c r="D37" s="37" t="s">
        <v>230</v>
      </c>
      <c r="E37" s="39">
        <f>+'FY21'!E37*(1+MYP!$G$9)</f>
        <v>0</v>
      </c>
      <c r="F37" s="39">
        <f>+'FY21'!F37*(1+MYP!$G$9)</f>
        <v>0</v>
      </c>
      <c r="G37" s="39">
        <f>+'FY21'!G37*(1+MYP!$G$9)</f>
        <v>765</v>
      </c>
      <c r="H37" s="39">
        <f>+'FY21'!H37*(1+MYP!$G$9)</f>
        <v>765</v>
      </c>
      <c r="I37" s="39">
        <f>+'FY21'!I37*(1+MYP!$G$9)</f>
        <v>0</v>
      </c>
      <c r="J37" s="39">
        <f>+'FY21'!J37*(1+MYP!$G$9)</f>
        <v>0</v>
      </c>
      <c r="K37" s="39">
        <f>+'FY21'!K37*(1+MYP!$G$9)</f>
        <v>0</v>
      </c>
      <c r="L37" s="39">
        <f>+'FY21'!L37*(1+MYP!$G$9)</f>
        <v>765</v>
      </c>
      <c r="M37" s="39">
        <f>+'FY21'!M37*(1+MYP!$G$9)</f>
        <v>765</v>
      </c>
      <c r="N37" s="39">
        <f>+'FY21'!N37*(1+MYP!$G$9)</f>
        <v>0</v>
      </c>
      <c r="O37" s="39">
        <f>+'FY21'!O37*(1+MYP!$G$9)</f>
        <v>0</v>
      </c>
      <c r="P37" s="39">
        <f>+'FY21'!P37*(1+MYP!$G$9)</f>
        <v>0</v>
      </c>
      <c r="Q37" s="100"/>
      <c r="R37" s="41"/>
      <c r="S37" s="59">
        <f t="shared" si="14"/>
        <v>3060</v>
      </c>
      <c r="T37" s="41"/>
      <c r="U37" s="39">
        <f>'FY21'!S37</f>
        <v>3000</v>
      </c>
      <c r="V37" s="39">
        <f t="shared" si="15"/>
        <v>-60</v>
      </c>
      <c r="W37" s="39"/>
    </row>
    <row r="38" spans="3:23" s="37" customFormat="1" ht="12" x14ac:dyDescent="0.2">
      <c r="C38" s="200">
        <v>6161</v>
      </c>
      <c r="D38" s="37" t="s">
        <v>97</v>
      </c>
      <c r="E38" s="39">
        <f>+'FY21'!E38*(1+MYP!$G$9)</f>
        <v>0</v>
      </c>
      <c r="F38" s="39">
        <f>+'FY21'!F38*(1+MYP!$G$9)</f>
        <v>0</v>
      </c>
      <c r="G38" s="39">
        <f>+'FY21'!G38*(1+MYP!$G$9)</f>
        <v>0</v>
      </c>
      <c r="H38" s="39">
        <f>+'FY21'!H38*(1+MYP!$G$9)</f>
        <v>306</v>
      </c>
      <c r="I38" s="39">
        <f>+'FY21'!I38*(1+MYP!$G$9)</f>
        <v>306</v>
      </c>
      <c r="J38" s="39">
        <f>+'FY21'!J38*(1+MYP!$G$9)</f>
        <v>306</v>
      </c>
      <c r="K38" s="39">
        <f>+'FY21'!K38*(1+MYP!$G$9)</f>
        <v>306</v>
      </c>
      <c r="L38" s="39">
        <f>+'FY21'!L38*(1+MYP!$G$9)</f>
        <v>0</v>
      </c>
      <c r="M38" s="39">
        <f>+'FY21'!M38*(1+MYP!$G$9)</f>
        <v>0</v>
      </c>
      <c r="N38" s="39">
        <f>+'FY21'!N38*(1+MYP!$G$9)</f>
        <v>0</v>
      </c>
      <c r="O38" s="39">
        <f>+'FY21'!O38*(1+MYP!$G$9)</f>
        <v>0</v>
      </c>
      <c r="P38" s="39">
        <f>+'FY21'!P38*(1+MYP!$G$9)</f>
        <v>0</v>
      </c>
      <c r="Q38" s="100"/>
      <c r="R38" s="41"/>
      <c r="S38" s="59">
        <f t="shared" si="14"/>
        <v>1224</v>
      </c>
      <c r="T38" s="41"/>
      <c r="U38" s="39">
        <f>'FY21'!S38</f>
        <v>1200</v>
      </c>
      <c r="V38" s="39">
        <f t="shared" si="15"/>
        <v>-24</v>
      </c>
      <c r="W38" s="39"/>
    </row>
    <row r="39" spans="3:23" s="37" customFormat="1" ht="12" x14ac:dyDescent="0.2">
      <c r="C39" s="200">
        <v>6164</v>
      </c>
      <c r="D39" s="37" t="s">
        <v>98</v>
      </c>
      <c r="E39" s="39">
        <f>+'FY21'!E39*(1+MYP!$G$9)</f>
        <v>0</v>
      </c>
      <c r="F39" s="39">
        <f>+'FY21'!F39*(1+MYP!$G$9)</f>
        <v>0</v>
      </c>
      <c r="G39" s="39">
        <f>+'FY21'!G39*(1+MYP!$G$9)</f>
        <v>0</v>
      </c>
      <c r="H39" s="39">
        <f>+'FY21'!H39*(1+MYP!$G$9)</f>
        <v>255</v>
      </c>
      <c r="I39" s="39">
        <f>+'FY21'!I39*(1+MYP!$G$9)</f>
        <v>255</v>
      </c>
      <c r="J39" s="39">
        <f>+'FY21'!J39*(1+MYP!$G$9)</f>
        <v>255</v>
      </c>
      <c r="K39" s="39">
        <f>+'FY21'!K39*(1+MYP!$G$9)</f>
        <v>255</v>
      </c>
      <c r="L39" s="39">
        <f>+'FY21'!L39*(1+MYP!$G$9)</f>
        <v>0</v>
      </c>
      <c r="M39" s="39">
        <f>+'FY21'!M39*(1+MYP!$G$9)</f>
        <v>0</v>
      </c>
      <c r="N39" s="39">
        <f>+'FY21'!N39*(1+MYP!$G$9)</f>
        <v>0</v>
      </c>
      <c r="O39" s="39">
        <f>+'FY21'!O39*(1+MYP!$G$9)</f>
        <v>0</v>
      </c>
      <c r="P39" s="39">
        <f>+'FY21'!P39*(1+MYP!$G$9)</f>
        <v>0</v>
      </c>
      <c r="Q39" s="100"/>
      <c r="R39" s="41"/>
      <c r="S39" s="59">
        <f t="shared" si="14"/>
        <v>1020</v>
      </c>
      <c r="T39" s="41"/>
      <c r="U39" s="39">
        <f>'FY21'!S39</f>
        <v>1000</v>
      </c>
      <c r="V39" s="39">
        <f t="shared" si="15"/>
        <v>-20</v>
      </c>
      <c r="W39" s="39"/>
    </row>
    <row r="40" spans="3:23" s="37" customFormat="1" ht="12" x14ac:dyDescent="0.2">
      <c r="C40" s="200">
        <v>6167</v>
      </c>
      <c r="D40" s="37" t="s">
        <v>231</v>
      </c>
      <c r="E40" s="39">
        <f>+'FY21'!E40*(1+MYP!$G$9)</f>
        <v>0</v>
      </c>
      <c r="F40" s="39">
        <f>+'FY21'!F40*(1+MYP!$G$9)</f>
        <v>0</v>
      </c>
      <c r="G40" s="39">
        <f>+'FY21'!G40*(1+MYP!$G$9)</f>
        <v>0</v>
      </c>
      <c r="H40" s="39">
        <f>+'FY21'!H40*(1+MYP!$G$9)</f>
        <v>153</v>
      </c>
      <c r="I40" s="39">
        <f>+'FY21'!I40*(1+MYP!$G$9)</f>
        <v>153</v>
      </c>
      <c r="J40" s="39">
        <f>+'FY21'!J40*(1+MYP!$G$9)</f>
        <v>153</v>
      </c>
      <c r="K40" s="39">
        <f>+'FY21'!K40*(1+MYP!$G$9)</f>
        <v>153</v>
      </c>
      <c r="L40" s="39">
        <f>+'FY21'!L40*(1+MYP!$G$9)</f>
        <v>0</v>
      </c>
      <c r="M40" s="39">
        <f>+'FY21'!M40*(1+MYP!$G$9)</f>
        <v>0</v>
      </c>
      <c r="N40" s="39">
        <f>+'FY21'!N40*(1+MYP!$G$9)</f>
        <v>0</v>
      </c>
      <c r="O40" s="39">
        <f>+'FY21'!O40*(1+MYP!$G$9)</f>
        <v>0</v>
      </c>
      <c r="P40" s="39">
        <f>+'FY21'!P40*(1+MYP!$G$9)</f>
        <v>0</v>
      </c>
      <c r="Q40" s="100"/>
      <c r="R40" s="41"/>
      <c r="S40" s="59">
        <f t="shared" si="14"/>
        <v>612</v>
      </c>
      <c r="T40" s="41"/>
      <c r="U40" s="39">
        <f>'FY21'!S40</f>
        <v>600</v>
      </c>
      <c r="V40" s="39">
        <f t="shared" si="15"/>
        <v>-12</v>
      </c>
      <c r="W40" s="39"/>
    </row>
    <row r="41" spans="3:23" s="37" customFormat="1" ht="12" x14ac:dyDescent="0.2">
      <c r="C41" s="38"/>
      <c r="E41" s="50">
        <f t="shared" ref="E41:P41" si="16">SUBTOTAL(9,E31:E40)</f>
        <v>24941.116075000005</v>
      </c>
      <c r="F41" s="50">
        <f t="shared" si="16"/>
        <v>24941.116075000005</v>
      </c>
      <c r="G41" s="50">
        <f t="shared" si="16"/>
        <v>28183.696075000007</v>
      </c>
      <c r="H41" s="50">
        <f t="shared" si="16"/>
        <v>27950.116075000005</v>
      </c>
      <c r="I41" s="50">
        <f t="shared" si="16"/>
        <v>26602.696075000007</v>
      </c>
      <c r="J41" s="50">
        <f t="shared" si="16"/>
        <v>25655.116075000005</v>
      </c>
      <c r="K41" s="50">
        <f t="shared" si="16"/>
        <v>26602.696075000007</v>
      </c>
      <c r="L41" s="50">
        <f t="shared" si="16"/>
        <v>27236.116075000005</v>
      </c>
      <c r="M41" s="50">
        <f t="shared" si="16"/>
        <v>28183.696075000007</v>
      </c>
      <c r="N41" s="50">
        <f t="shared" si="16"/>
        <v>25888.696075000007</v>
      </c>
      <c r="O41" s="50">
        <f t="shared" si="16"/>
        <v>24941.116075000005</v>
      </c>
      <c r="P41" s="50">
        <f t="shared" si="16"/>
        <v>27236.116075000005</v>
      </c>
      <c r="Q41" s="51"/>
      <c r="R41" s="41"/>
      <c r="S41" s="61">
        <f>SUBTOTAL(9,S31:S40)</f>
        <v>318362.29290000006</v>
      </c>
      <c r="T41" s="41"/>
      <c r="U41" s="50">
        <f>SUBTOTAL(9,U31:U40)</f>
        <v>312119.89500000002</v>
      </c>
      <c r="V41" s="50">
        <f>SUBTOTAL(9,V31:V40)</f>
        <v>-6242.397900000039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200">
        <v>6211</v>
      </c>
      <c r="D43" s="37" t="s">
        <v>198</v>
      </c>
      <c r="E43" s="39">
        <f>+'FY21'!E43*(1+MYP!$G$9)</f>
        <v>75.48</v>
      </c>
      <c r="F43" s="39">
        <f>+'FY21'!F43*(1+MYP!$G$9)</f>
        <v>75.48</v>
      </c>
      <c r="G43" s="39">
        <f>+'FY21'!G43*(1+MYP!$G$9)</f>
        <v>75.48</v>
      </c>
      <c r="H43" s="39">
        <f>+'FY21'!H43*(1+MYP!$G$9)</f>
        <v>75.48</v>
      </c>
      <c r="I43" s="39">
        <f>+'FY21'!I43*(1+MYP!$G$9)</f>
        <v>75.48</v>
      </c>
      <c r="J43" s="39">
        <f>+'FY21'!J43*(1+MYP!$G$9)</f>
        <v>75.48</v>
      </c>
      <c r="K43" s="39">
        <f>+'FY21'!K43*(1+MYP!$G$9)</f>
        <v>75.48</v>
      </c>
      <c r="L43" s="39">
        <f>+'FY21'!L43*(1+MYP!$G$9)</f>
        <v>75.48</v>
      </c>
      <c r="M43" s="39">
        <f>+'FY21'!M43*(1+MYP!$G$9)</f>
        <v>75.48</v>
      </c>
      <c r="N43" s="39">
        <f>+'FY21'!N43*(1+MYP!$G$9)</f>
        <v>75.48</v>
      </c>
      <c r="O43" s="39">
        <f>+'FY21'!O43*(1+MYP!$G$9)</f>
        <v>75.48</v>
      </c>
      <c r="P43" s="39">
        <f>+'FY21'!P43*(1+MYP!$G$9)</f>
        <v>75.48</v>
      </c>
      <c r="Q43" s="36"/>
      <c r="R43" s="41"/>
      <c r="S43" s="59">
        <f t="shared" ref="S43:S61" si="17">SUM(E43:Q43)</f>
        <v>905.7600000000001</v>
      </c>
      <c r="T43" s="41"/>
      <c r="U43" s="39">
        <f>'FY21'!S43</f>
        <v>888</v>
      </c>
      <c r="V43" s="39">
        <f t="shared" ref="V43:V61" si="18">U43-S43</f>
        <v>-17.760000000000105</v>
      </c>
      <c r="W43" s="39"/>
    </row>
    <row r="44" spans="3:23" s="37" customFormat="1" ht="12" x14ac:dyDescent="0.2">
      <c r="C44" s="200">
        <v>6214</v>
      </c>
      <c r="D44" s="37" t="s">
        <v>199</v>
      </c>
      <c r="E44" s="39">
        <f>+'FY21'!E44*(1+MYP!$G$9)</f>
        <v>37.74</v>
      </c>
      <c r="F44" s="39">
        <f>+'FY21'!F44*(1+MYP!$G$9)</f>
        <v>37.74</v>
      </c>
      <c r="G44" s="39">
        <f>+'FY21'!G44*(1+MYP!$G$9)</f>
        <v>37.74</v>
      </c>
      <c r="H44" s="39">
        <f>+'FY21'!H44*(1+MYP!$G$9)</f>
        <v>37.74</v>
      </c>
      <c r="I44" s="39">
        <f>+'FY21'!I44*(1+MYP!$G$9)</f>
        <v>37.74</v>
      </c>
      <c r="J44" s="39">
        <f>+'FY21'!J44*(1+MYP!$G$9)</f>
        <v>37.74</v>
      </c>
      <c r="K44" s="39">
        <f>+'FY21'!K44*(1+MYP!$G$9)</f>
        <v>37.74</v>
      </c>
      <c r="L44" s="39">
        <f>+'FY21'!L44*(1+MYP!$G$9)</f>
        <v>37.74</v>
      </c>
      <c r="M44" s="39">
        <f>+'FY21'!M44*(1+MYP!$G$9)</f>
        <v>37.74</v>
      </c>
      <c r="N44" s="39">
        <f>+'FY21'!N44*(1+MYP!$G$9)</f>
        <v>37.74</v>
      </c>
      <c r="O44" s="39">
        <f>+'FY21'!O44*(1+MYP!$G$9)</f>
        <v>37.74</v>
      </c>
      <c r="P44" s="39">
        <f>+'FY21'!P44*(1+MYP!$G$9)</f>
        <v>37.74</v>
      </c>
      <c r="Q44" s="36"/>
      <c r="R44" s="41"/>
      <c r="S44" s="59">
        <f t="shared" si="17"/>
        <v>452.88000000000005</v>
      </c>
      <c r="T44" s="41"/>
      <c r="U44" s="39">
        <f>'FY21'!S44</f>
        <v>444</v>
      </c>
      <c r="V44" s="39">
        <f t="shared" si="18"/>
        <v>-8.8800000000000523</v>
      </c>
      <c r="W44" s="39"/>
    </row>
    <row r="45" spans="3:23" s="37" customFormat="1" ht="12" x14ac:dyDescent="0.2">
      <c r="C45" s="200">
        <v>6217</v>
      </c>
      <c r="D45" s="37" t="s">
        <v>222</v>
      </c>
      <c r="E45" s="39">
        <f>+'FY21'!E45*(1+MYP!$G$9)</f>
        <v>37.74</v>
      </c>
      <c r="F45" s="39">
        <f>+'FY21'!F45*(1+MYP!$G$9)</f>
        <v>37.74</v>
      </c>
      <c r="G45" s="39">
        <f>+'FY21'!G45*(1+MYP!$G$9)</f>
        <v>37.74</v>
      </c>
      <c r="H45" s="39">
        <f>+'FY21'!H45*(1+MYP!$G$9)</f>
        <v>37.74</v>
      </c>
      <c r="I45" s="39">
        <f>+'FY21'!I45*(1+MYP!$G$9)</f>
        <v>37.74</v>
      </c>
      <c r="J45" s="39">
        <f>+'FY21'!J45*(1+MYP!$G$9)</f>
        <v>37.74</v>
      </c>
      <c r="K45" s="39">
        <f>+'FY21'!K45*(1+MYP!$G$9)</f>
        <v>37.74</v>
      </c>
      <c r="L45" s="39">
        <f>+'FY21'!L45*(1+MYP!$G$9)</f>
        <v>37.74</v>
      </c>
      <c r="M45" s="39">
        <f>+'FY21'!M45*(1+MYP!$G$9)</f>
        <v>37.74</v>
      </c>
      <c r="N45" s="39">
        <f>+'FY21'!N45*(1+MYP!$G$9)</f>
        <v>37.74</v>
      </c>
      <c r="O45" s="39">
        <f>+'FY21'!O45*(1+MYP!$G$9)</f>
        <v>37.74</v>
      </c>
      <c r="P45" s="39">
        <f>+'FY21'!P45*(1+MYP!$G$9)</f>
        <v>37.74</v>
      </c>
      <c r="Q45" s="36"/>
      <c r="R45" s="41"/>
      <c r="S45" s="59">
        <f t="shared" si="17"/>
        <v>452.88000000000005</v>
      </c>
      <c r="T45" s="41"/>
      <c r="U45" s="39">
        <f>'FY21'!S45</f>
        <v>444</v>
      </c>
      <c r="V45" s="39">
        <f>U45-S45</f>
        <v>-8.8800000000000523</v>
      </c>
      <c r="W45" s="39"/>
    </row>
    <row r="46" spans="3:23" s="37" customFormat="1" ht="12" x14ac:dyDescent="0.2">
      <c r="C46" s="200">
        <v>6227</v>
      </c>
      <c r="D46" s="37" t="s">
        <v>221</v>
      </c>
      <c r="E46" s="39">
        <f>+'FY21'!E46*(1+MYP!$G$9)</f>
        <v>208.2704</v>
      </c>
      <c r="F46" s="39">
        <f>+'FY21'!F46*(1+MYP!$G$9)</f>
        <v>208.2704</v>
      </c>
      <c r="G46" s="39">
        <f>+'FY21'!G46*(1+MYP!$G$9)</f>
        <v>208.2704</v>
      </c>
      <c r="H46" s="39">
        <f>+'FY21'!H46*(1+MYP!$G$9)</f>
        <v>208.2704</v>
      </c>
      <c r="I46" s="39">
        <f>+'FY21'!I46*(1+MYP!$G$9)</f>
        <v>208.2704</v>
      </c>
      <c r="J46" s="39">
        <f>+'FY21'!J46*(1+MYP!$G$9)</f>
        <v>208.2704</v>
      </c>
      <c r="K46" s="39">
        <f>+'FY21'!K46*(1+MYP!$G$9)</f>
        <v>208.2704</v>
      </c>
      <c r="L46" s="39">
        <f>+'FY21'!L46*(1+MYP!$G$9)</f>
        <v>208.2704</v>
      </c>
      <c r="M46" s="39">
        <f>+'FY21'!M46*(1+MYP!$G$9)</f>
        <v>208.2704</v>
      </c>
      <c r="N46" s="39">
        <f>+'FY21'!N46*(1+MYP!$G$9)</f>
        <v>208.2704</v>
      </c>
      <c r="O46" s="39">
        <f>+'FY21'!O46*(1+MYP!$G$9)</f>
        <v>208.2704</v>
      </c>
      <c r="P46" s="39">
        <f>+'FY21'!P46*(1+MYP!$G$9)</f>
        <v>208.2704</v>
      </c>
      <c r="Q46" s="36"/>
      <c r="R46" s="41"/>
      <c r="S46" s="59">
        <f t="shared" si="17"/>
        <v>2499.244799999999</v>
      </c>
      <c r="T46" s="41"/>
      <c r="U46" s="39">
        <f>'FY21'!S46</f>
        <v>2450.2400000000002</v>
      </c>
      <c r="V46" s="39">
        <f t="shared" si="18"/>
        <v>-49.004799999998795</v>
      </c>
      <c r="W46" s="39"/>
    </row>
    <row r="47" spans="3:23" s="37" customFormat="1" ht="12" x14ac:dyDescent="0.2">
      <c r="C47" s="200">
        <v>6231</v>
      </c>
      <c r="D47" s="37" t="s">
        <v>205</v>
      </c>
      <c r="E47" s="39">
        <f>+'FY21'!E47*(1+MYP!$G$9)</f>
        <v>1418.6492488125</v>
      </c>
      <c r="F47" s="39">
        <f>+'FY21'!F47*(1+MYP!$G$9)</f>
        <v>1418.6492488125</v>
      </c>
      <c r="G47" s="39">
        <f>+'FY21'!G47*(1+MYP!$G$9)</f>
        <v>1418.6492488125</v>
      </c>
      <c r="H47" s="39">
        <f>+'FY21'!H47*(1+MYP!$G$9)</f>
        <v>1418.6492488125</v>
      </c>
      <c r="I47" s="39">
        <f>+'FY21'!I47*(1+MYP!$G$9)</f>
        <v>1418.6492488125</v>
      </c>
      <c r="J47" s="39">
        <f>+'FY21'!J47*(1+MYP!$G$9)</f>
        <v>1418.6492488125</v>
      </c>
      <c r="K47" s="39">
        <f>+'FY21'!K47*(1+MYP!$G$9)</f>
        <v>1418.6492488125</v>
      </c>
      <c r="L47" s="39">
        <f>+'FY21'!L47*(1+MYP!$G$9)</f>
        <v>1418.6492488125</v>
      </c>
      <c r="M47" s="39">
        <f>+'FY21'!M47*(1+MYP!$G$9)</f>
        <v>1418.6492488125</v>
      </c>
      <c r="N47" s="39">
        <f>+'FY21'!N47*(1+MYP!$G$9)</f>
        <v>1418.6492488125</v>
      </c>
      <c r="O47" s="39">
        <f>+'FY21'!O47*(1+MYP!$G$9)</f>
        <v>1418.6492488125</v>
      </c>
      <c r="P47" s="39">
        <f>+'FY21'!P47*(1+MYP!$G$9)</f>
        <v>1418.6492488125</v>
      </c>
      <c r="Q47" s="36"/>
      <c r="R47" s="41"/>
      <c r="S47" s="59">
        <f>SUM(E47:Q47)</f>
        <v>17023.790985750002</v>
      </c>
      <c r="T47" s="41"/>
      <c r="U47" s="39">
        <f>'FY21'!S47</f>
        <v>16689.991162499999</v>
      </c>
      <c r="V47" s="39">
        <f t="shared" si="18"/>
        <v>-333.7998232500031</v>
      </c>
      <c r="W47" s="39"/>
    </row>
    <row r="48" spans="3:23" s="37" customFormat="1" ht="12" x14ac:dyDescent="0.2">
      <c r="C48" s="200">
        <v>6234</v>
      </c>
      <c r="D48" s="37" t="s">
        <v>206</v>
      </c>
      <c r="E48" s="39">
        <f>+'FY21'!E48*(1+MYP!$G$9)</f>
        <v>2446.0038281249999</v>
      </c>
      <c r="F48" s="39">
        <f>+'FY21'!F48*(1+MYP!$G$9)</f>
        <v>2446.0038281249999</v>
      </c>
      <c r="G48" s="39">
        <f>+'FY21'!G48*(1+MYP!$G$9)</f>
        <v>2446.0038281249999</v>
      </c>
      <c r="H48" s="39">
        <f>+'FY21'!H48*(1+MYP!$G$9)</f>
        <v>2446.0038281249999</v>
      </c>
      <c r="I48" s="39">
        <f>+'FY21'!I48*(1+MYP!$G$9)</f>
        <v>2446.0038281249999</v>
      </c>
      <c r="J48" s="39">
        <f>+'FY21'!J48*(1+MYP!$G$9)</f>
        <v>2446.0038281249999</v>
      </c>
      <c r="K48" s="39">
        <f>+'FY21'!K48*(1+MYP!$G$9)</f>
        <v>2446.0038281249999</v>
      </c>
      <c r="L48" s="39">
        <f>+'FY21'!L48*(1+MYP!$G$9)</f>
        <v>2446.0038281249999</v>
      </c>
      <c r="M48" s="39">
        <f>+'FY21'!M48*(1+MYP!$G$9)</f>
        <v>2446.0038281249999</v>
      </c>
      <c r="N48" s="39">
        <f>+'FY21'!N48*(1+MYP!$G$9)</f>
        <v>2446.0038281249999</v>
      </c>
      <c r="O48" s="39">
        <f>+'FY21'!O48*(1+MYP!$G$9)</f>
        <v>2446.0038281249999</v>
      </c>
      <c r="P48" s="39">
        <f>+'FY21'!P48*(1+MYP!$G$9)</f>
        <v>2446.0038281249999</v>
      </c>
      <c r="Q48" s="36"/>
      <c r="R48" s="41"/>
      <c r="S48" s="59">
        <f t="shared" si="17"/>
        <v>29352.045937500006</v>
      </c>
      <c r="T48" s="41"/>
      <c r="U48" s="39">
        <f>'FY21'!S48</f>
        <v>28776.515625</v>
      </c>
      <c r="V48" s="39">
        <f t="shared" si="18"/>
        <v>-575.5303125000064</v>
      </c>
      <c r="W48" s="39"/>
    </row>
    <row r="49" spans="3:23" s="37" customFormat="1" ht="12" x14ac:dyDescent="0.2">
      <c r="C49" s="200">
        <v>6237</v>
      </c>
      <c r="D49" s="37" t="s">
        <v>223</v>
      </c>
      <c r="E49" s="39">
        <f>+'FY21'!E49*(1+MYP!$G$9)</f>
        <v>597.32599949999997</v>
      </c>
      <c r="F49" s="39">
        <f>+'FY21'!F49*(1+MYP!$G$9)</f>
        <v>597.32599949999997</v>
      </c>
      <c r="G49" s="39">
        <f>+'FY21'!G49*(1+MYP!$G$9)</f>
        <v>597.32599949999997</v>
      </c>
      <c r="H49" s="39">
        <f>+'FY21'!H49*(1+MYP!$G$9)</f>
        <v>597.32599949999997</v>
      </c>
      <c r="I49" s="39">
        <f>+'FY21'!I49*(1+MYP!$G$9)</f>
        <v>597.32599949999997</v>
      </c>
      <c r="J49" s="39">
        <f>+'FY21'!J49*(1+MYP!$G$9)</f>
        <v>597.32599949999997</v>
      </c>
      <c r="K49" s="39">
        <f>+'FY21'!K49*(1+MYP!$G$9)</f>
        <v>597.32599949999997</v>
      </c>
      <c r="L49" s="39">
        <f>+'FY21'!L49*(1+MYP!$G$9)</f>
        <v>597.32599949999997</v>
      </c>
      <c r="M49" s="39">
        <f>+'FY21'!M49*(1+MYP!$G$9)</f>
        <v>597.32599949999997</v>
      </c>
      <c r="N49" s="39">
        <f>+'FY21'!N49*(1+MYP!$G$9)</f>
        <v>597.32599949999997</v>
      </c>
      <c r="O49" s="39">
        <f>+'FY21'!O49*(1+MYP!$G$9)</f>
        <v>597.32599949999997</v>
      </c>
      <c r="P49" s="39">
        <f>+'FY21'!P49*(1+MYP!$G$9)</f>
        <v>597.32599949999997</v>
      </c>
      <c r="Q49" s="36"/>
      <c r="R49" s="41"/>
      <c r="S49" s="59">
        <f t="shared" si="17"/>
        <v>7167.9119939999991</v>
      </c>
      <c r="T49" s="41"/>
      <c r="U49" s="39">
        <f>'FY21'!S49</f>
        <v>7027.364700000001</v>
      </c>
      <c r="V49" s="39">
        <f t="shared" si="18"/>
        <v>-140.54729399999815</v>
      </c>
      <c r="W49" s="39"/>
    </row>
    <row r="50" spans="3:23" s="37" customFormat="1" ht="12" x14ac:dyDescent="0.2">
      <c r="C50" s="200">
        <v>6241</v>
      </c>
      <c r="D50" s="37" t="s">
        <v>196</v>
      </c>
      <c r="E50" s="39">
        <f>+'FY21'!E50*(1+MYP!$G$9)</f>
        <v>134.88796136250002</v>
      </c>
      <c r="F50" s="39">
        <f>+'FY21'!F50*(1+MYP!$G$9)</f>
        <v>134.88796136250002</v>
      </c>
      <c r="G50" s="39">
        <f>+'FY21'!G50*(1+MYP!$G$9)</f>
        <v>157.07296136250002</v>
      </c>
      <c r="H50" s="39">
        <f>+'FY21'!H50*(1+MYP!$G$9)</f>
        <v>161.50996136250001</v>
      </c>
      <c r="I50" s="39">
        <f>+'FY21'!I50*(1+MYP!$G$9)</f>
        <v>139.32496136250001</v>
      </c>
      <c r="J50" s="39">
        <f>+'FY21'!J50*(1+MYP!$G$9)</f>
        <v>139.32496136250001</v>
      </c>
      <c r="K50" s="39">
        <f>+'FY21'!K50*(1+MYP!$G$9)</f>
        <v>139.32496136250001</v>
      </c>
      <c r="L50" s="39">
        <f>+'FY21'!L50*(1+MYP!$G$9)</f>
        <v>157.07296136250002</v>
      </c>
      <c r="M50" s="39">
        <f>+'FY21'!M50*(1+MYP!$G$9)</f>
        <v>157.07296136250002</v>
      </c>
      <c r="N50" s="39">
        <f>+'FY21'!N50*(1+MYP!$G$9)</f>
        <v>134.88796136250002</v>
      </c>
      <c r="O50" s="39">
        <f>+'FY21'!O50*(1+MYP!$G$9)</f>
        <v>134.88796136250002</v>
      </c>
      <c r="P50" s="39">
        <f>+'FY21'!P50*(1+MYP!$G$9)</f>
        <v>134.88796136250002</v>
      </c>
      <c r="Q50" s="36"/>
      <c r="R50" s="41"/>
      <c r="S50" s="59">
        <f t="shared" si="17"/>
        <v>1725.1435363500002</v>
      </c>
      <c r="T50" s="41"/>
      <c r="U50" s="39">
        <f>'FY21'!S50</f>
        <v>1691.3171924999999</v>
      </c>
      <c r="V50" s="39">
        <f t="shared" si="18"/>
        <v>-33.826343850000285</v>
      </c>
      <c r="W50" s="39"/>
    </row>
    <row r="51" spans="3:23" s="37" customFormat="1" ht="12" x14ac:dyDescent="0.2">
      <c r="C51" s="200">
        <v>6244</v>
      </c>
      <c r="D51" s="37" t="s">
        <v>197</v>
      </c>
      <c r="E51" s="39">
        <f>+'FY21'!E51*(1+MYP!$G$9)</f>
        <v>121.25489062500002</v>
      </c>
      <c r="F51" s="39">
        <f>+'FY21'!F51*(1+MYP!$G$9)</f>
        <v>121.25489062500002</v>
      </c>
      <c r="G51" s="39">
        <f>+'FY21'!G51*(1+MYP!$G$9)</f>
        <v>134.99480062500001</v>
      </c>
      <c r="H51" s="39">
        <f>+'FY21'!H51*(1+MYP!$G$9)</f>
        <v>124.95239062500001</v>
      </c>
      <c r="I51" s="39">
        <f>+'FY21'!I51*(1+MYP!$G$9)</f>
        <v>138.692300625</v>
      </c>
      <c r="J51" s="39">
        <f>+'FY21'!J51*(1+MYP!$G$9)</f>
        <v>124.95239062500001</v>
      </c>
      <c r="K51" s="39">
        <f>+'FY21'!K51*(1+MYP!$G$9)</f>
        <v>138.692300625</v>
      </c>
      <c r="L51" s="39">
        <f>+'FY21'!L51*(1+MYP!$G$9)</f>
        <v>121.25489062500002</v>
      </c>
      <c r="M51" s="39">
        <f>+'FY21'!M51*(1+MYP!$G$9)</f>
        <v>134.99480062500001</v>
      </c>
      <c r="N51" s="39">
        <f>+'FY21'!N51*(1+MYP!$G$9)</f>
        <v>134.99480062500001</v>
      </c>
      <c r="O51" s="39">
        <f>+'FY21'!O51*(1+MYP!$G$9)</f>
        <v>121.25489062500002</v>
      </c>
      <c r="P51" s="39">
        <f>+'FY21'!P51*(1+MYP!$G$9)</f>
        <v>154.53239062500001</v>
      </c>
      <c r="Q51" s="36"/>
      <c r="R51" s="41"/>
      <c r="S51" s="59">
        <f t="shared" si="17"/>
        <v>1571.8257374999998</v>
      </c>
      <c r="T51" s="41"/>
      <c r="U51" s="39">
        <f>'FY21'!S51</f>
        <v>1541.005625</v>
      </c>
      <c r="V51" s="39">
        <f t="shared" si="18"/>
        <v>-30.820112499999823</v>
      </c>
      <c r="W51" s="39"/>
    </row>
    <row r="52" spans="3:23" s="37" customFormat="1" ht="12" x14ac:dyDescent="0.2">
      <c r="C52" s="200">
        <v>6247</v>
      </c>
      <c r="D52" s="37" t="s">
        <v>224</v>
      </c>
      <c r="E52" s="39">
        <f>+'FY21'!E52*(1+MYP!$G$9)</f>
        <v>105.50333110000001</v>
      </c>
      <c r="F52" s="39">
        <f>+'FY21'!F52*(1+MYP!$G$9)</f>
        <v>105.50333110000001</v>
      </c>
      <c r="G52" s="39">
        <f>+'FY21'!G52*(1+MYP!$G$9)</f>
        <v>116.59583110000001</v>
      </c>
      <c r="H52" s="39">
        <f>+'FY21'!H52*(1+MYP!$G$9)</f>
        <v>118.8143311</v>
      </c>
      <c r="I52" s="39">
        <f>+'FY21'!I52*(1+MYP!$G$9)</f>
        <v>107.7218311</v>
      </c>
      <c r="J52" s="39">
        <f>+'FY21'!J52*(1+MYP!$G$9)</f>
        <v>107.7218311</v>
      </c>
      <c r="K52" s="39">
        <f>+'FY21'!K52*(1+MYP!$G$9)</f>
        <v>107.7218311</v>
      </c>
      <c r="L52" s="39">
        <f>+'FY21'!L52*(1+MYP!$G$9)</f>
        <v>116.59583110000001</v>
      </c>
      <c r="M52" s="39">
        <f>+'FY21'!M52*(1+MYP!$G$9)</f>
        <v>116.59583110000001</v>
      </c>
      <c r="N52" s="39">
        <f>+'FY21'!N52*(1+MYP!$G$9)</f>
        <v>105.50333110000001</v>
      </c>
      <c r="O52" s="39">
        <f>+'FY21'!O52*(1+MYP!$G$9)</f>
        <v>105.50333110000001</v>
      </c>
      <c r="P52" s="39">
        <f>+'FY21'!P52*(1+MYP!$G$9)</f>
        <v>105.50333110000001</v>
      </c>
      <c r="Q52" s="36"/>
      <c r="R52" s="41"/>
      <c r="S52" s="59">
        <f t="shared" si="17"/>
        <v>1319.2839732000002</v>
      </c>
      <c r="T52" s="41"/>
      <c r="U52" s="39">
        <f>'FY21'!S52</f>
        <v>1293.4156600000003</v>
      </c>
      <c r="V52" s="39">
        <f t="shared" si="18"/>
        <v>-25.868313199999875</v>
      </c>
      <c r="W52" s="39"/>
    </row>
    <row r="53" spans="3:23" s="37" customFormat="1" ht="12" x14ac:dyDescent="0.2">
      <c r="C53" s="200">
        <v>6261</v>
      </c>
      <c r="D53" s="37" t="s">
        <v>207</v>
      </c>
      <c r="E53" s="39">
        <f>+'FY21'!E53*(1+MYP!$G$9)</f>
        <v>79.56</v>
      </c>
      <c r="F53" s="39">
        <f>+'FY21'!F53*(1+MYP!$G$9)</f>
        <v>79.56</v>
      </c>
      <c r="G53" s="39">
        <f>+'FY21'!G53*(1+MYP!$G$9)</f>
        <v>79.56</v>
      </c>
      <c r="H53" s="39">
        <f>+'FY21'!H53*(1+MYP!$G$9)</f>
        <v>79.56</v>
      </c>
      <c r="I53" s="39">
        <f>+'FY21'!I53*(1+MYP!$G$9)</f>
        <v>79.56</v>
      </c>
      <c r="J53" s="39">
        <f>+'FY21'!J53*(1+MYP!$G$9)</f>
        <v>79.56</v>
      </c>
      <c r="K53" s="39">
        <f>+'FY21'!K53*(1+MYP!$G$9)</f>
        <v>79.56</v>
      </c>
      <c r="L53" s="39">
        <f>+'FY21'!L53*(1+MYP!$G$9)</f>
        <v>79.56</v>
      </c>
      <c r="M53" s="39">
        <f>+'FY21'!M53*(1+MYP!$G$9)</f>
        <v>79.56</v>
      </c>
      <c r="N53" s="39">
        <f>+'FY21'!N53*(1+MYP!$G$9)</f>
        <v>79.56</v>
      </c>
      <c r="O53" s="39">
        <f>+'FY21'!O53*(1+MYP!$G$9)</f>
        <v>79.56</v>
      </c>
      <c r="P53" s="39">
        <f>+'FY21'!P53*(1+MYP!$G$9)</f>
        <v>79.56</v>
      </c>
      <c r="Q53" s="36"/>
      <c r="R53" s="41"/>
      <c r="S53" s="59">
        <f t="shared" si="17"/>
        <v>954.7199999999998</v>
      </c>
      <c r="T53" s="41"/>
      <c r="U53" s="39">
        <f>'FY21'!S53</f>
        <v>936</v>
      </c>
      <c r="V53" s="39">
        <f t="shared" si="18"/>
        <v>-18.7199999999998</v>
      </c>
      <c r="W53" s="39"/>
    </row>
    <row r="54" spans="3:23" s="37" customFormat="1" ht="12" x14ac:dyDescent="0.2">
      <c r="C54" s="200">
        <v>6264</v>
      </c>
      <c r="D54" s="37" t="s">
        <v>208</v>
      </c>
      <c r="E54" s="39">
        <f>+'FY21'!E54*(1+MYP!$G$9)</f>
        <v>39.78</v>
      </c>
      <c r="F54" s="39">
        <f>+'FY21'!F54*(1+MYP!$G$9)</f>
        <v>39.78</v>
      </c>
      <c r="G54" s="39">
        <f>+'FY21'!G54*(1+MYP!$G$9)</f>
        <v>39.78</v>
      </c>
      <c r="H54" s="39">
        <f>+'FY21'!H54*(1+MYP!$G$9)</f>
        <v>39.78</v>
      </c>
      <c r="I54" s="39">
        <f>+'FY21'!I54*(1+MYP!$G$9)</f>
        <v>39.78</v>
      </c>
      <c r="J54" s="39">
        <f>+'FY21'!J54*(1+MYP!$G$9)</f>
        <v>39.78</v>
      </c>
      <c r="K54" s="39">
        <f>+'FY21'!K54*(1+MYP!$G$9)</f>
        <v>39.78</v>
      </c>
      <c r="L54" s="39">
        <f>+'FY21'!L54*(1+MYP!$G$9)</f>
        <v>39.78</v>
      </c>
      <c r="M54" s="39">
        <f>+'FY21'!M54*(1+MYP!$G$9)</f>
        <v>39.78</v>
      </c>
      <c r="N54" s="39">
        <f>+'FY21'!N54*(1+MYP!$G$9)</f>
        <v>39.78</v>
      </c>
      <c r="O54" s="39">
        <f>+'FY21'!O54*(1+MYP!$G$9)</f>
        <v>39.78</v>
      </c>
      <c r="P54" s="39">
        <f>+'FY21'!P54*(1+MYP!$G$9)</f>
        <v>39.78</v>
      </c>
      <c r="Q54" s="36"/>
      <c r="R54" s="41"/>
      <c r="S54" s="59">
        <f t="shared" si="17"/>
        <v>477.3599999999999</v>
      </c>
      <c r="T54" s="41"/>
      <c r="U54" s="39">
        <f>'FY21'!S54</f>
        <v>468</v>
      </c>
      <c r="V54" s="39">
        <f t="shared" si="18"/>
        <v>-9.3599999999999</v>
      </c>
      <c r="W54" s="39"/>
    </row>
    <row r="55" spans="3:23" s="37" customFormat="1" ht="12" x14ac:dyDescent="0.2">
      <c r="C55" s="200">
        <v>6267</v>
      </c>
      <c r="D55" s="37" t="s">
        <v>225</v>
      </c>
      <c r="E55" s="39">
        <f>+'FY21'!E55*(1+MYP!$G$9)</f>
        <v>90.167999999999992</v>
      </c>
      <c r="F55" s="39">
        <f>+'FY21'!F55*(1+MYP!$G$9)</f>
        <v>90.167999999999992</v>
      </c>
      <c r="G55" s="39">
        <f>+'FY21'!G55*(1+MYP!$G$9)</f>
        <v>90.167999999999992</v>
      </c>
      <c r="H55" s="39">
        <f>+'FY21'!H55*(1+MYP!$G$9)</f>
        <v>90.167999999999992</v>
      </c>
      <c r="I55" s="39">
        <f>+'FY21'!I55*(1+MYP!$G$9)</f>
        <v>90.167999999999992</v>
      </c>
      <c r="J55" s="39">
        <f>+'FY21'!J55*(1+MYP!$G$9)</f>
        <v>90.167999999999992</v>
      </c>
      <c r="K55" s="39">
        <f>+'FY21'!K55*(1+MYP!$G$9)</f>
        <v>90.167999999999992</v>
      </c>
      <c r="L55" s="39">
        <f>+'FY21'!L55*(1+MYP!$G$9)</f>
        <v>90.167999999999992</v>
      </c>
      <c r="M55" s="39">
        <f>+'FY21'!M55*(1+MYP!$G$9)</f>
        <v>90.167999999999992</v>
      </c>
      <c r="N55" s="39">
        <f>+'FY21'!N55*(1+MYP!$G$9)</f>
        <v>90.167999999999992</v>
      </c>
      <c r="O55" s="39">
        <f>+'FY21'!O55*(1+MYP!$G$9)</f>
        <v>90.167999999999992</v>
      </c>
      <c r="P55" s="39">
        <f>+'FY21'!P55*(1+MYP!$G$9)</f>
        <v>90.167999999999992</v>
      </c>
      <c r="Q55" s="36"/>
      <c r="R55" s="41"/>
      <c r="S55" s="59">
        <f t="shared" si="17"/>
        <v>1082.0159999999998</v>
      </c>
      <c r="T55" s="41"/>
      <c r="U55" s="39">
        <f>'FY21'!S55</f>
        <v>1060.8</v>
      </c>
      <c r="V55" s="39">
        <f t="shared" si="18"/>
        <v>-21.215999999999894</v>
      </c>
      <c r="W55" s="39"/>
    </row>
    <row r="56" spans="3:23" s="37" customFormat="1" ht="12" x14ac:dyDescent="0.2">
      <c r="C56" s="200">
        <v>6271</v>
      </c>
      <c r="D56" s="37" t="s">
        <v>209</v>
      </c>
      <c r="E56" s="39">
        <f>+'FY21'!E56*(1+MYP!$G$9)</f>
        <v>64.445017162500008</v>
      </c>
      <c r="F56" s="39">
        <f>+'FY21'!F56*(1+MYP!$G$9)</f>
        <v>64.445017162500008</v>
      </c>
      <c r="G56" s="39">
        <f>+'FY21'!G56*(1+MYP!$G$9)</f>
        <v>64.445017162500008</v>
      </c>
      <c r="H56" s="39">
        <f>+'FY21'!H56*(1+MYP!$G$9)</f>
        <v>64.445017162500008</v>
      </c>
      <c r="I56" s="39">
        <f>+'FY21'!I56*(1+MYP!$G$9)</f>
        <v>64.445017162500008</v>
      </c>
      <c r="J56" s="39">
        <f>+'FY21'!J56*(1+MYP!$G$9)</f>
        <v>64.445017162500008</v>
      </c>
      <c r="K56" s="39">
        <f>+'FY21'!K56*(1+MYP!$G$9)</f>
        <v>64.445017162500008</v>
      </c>
      <c r="L56" s="39">
        <f>+'FY21'!L56*(1+MYP!$G$9)</f>
        <v>64.445017162500008</v>
      </c>
      <c r="M56" s="39">
        <f>+'FY21'!M56*(1+MYP!$G$9)</f>
        <v>64.445017162500008</v>
      </c>
      <c r="N56" s="39">
        <f>+'FY21'!N56*(1+MYP!$G$9)</f>
        <v>64.445017162500008</v>
      </c>
      <c r="O56" s="39">
        <f>+'FY21'!O56*(1+MYP!$G$9)</f>
        <v>64.445017162500008</v>
      </c>
      <c r="P56" s="39">
        <f>+'FY21'!P56*(1+MYP!$G$9)</f>
        <v>64.445017162500008</v>
      </c>
      <c r="Q56" s="36"/>
      <c r="R56" s="41"/>
      <c r="S56" s="59">
        <f t="shared" si="17"/>
        <v>773.34020595000004</v>
      </c>
      <c r="T56" s="41"/>
      <c r="U56" s="39">
        <f>'FY21'!S56</f>
        <v>758.17667249999988</v>
      </c>
      <c r="V56" s="39">
        <f t="shared" si="18"/>
        <v>-15.163533450000159</v>
      </c>
      <c r="W56" s="39"/>
    </row>
    <row r="57" spans="3:23" s="37" customFormat="1" ht="12" x14ac:dyDescent="0.2">
      <c r="C57" s="200">
        <v>6274</v>
      </c>
      <c r="D57" s="37" t="s">
        <v>210</v>
      </c>
      <c r="E57" s="39">
        <f>+'FY21'!E57*(1+MYP!$G$9)</f>
        <v>58.717628125000005</v>
      </c>
      <c r="F57" s="39">
        <f>+'FY21'!F57*(1+MYP!$G$9)</f>
        <v>58.717628125000005</v>
      </c>
      <c r="G57" s="39">
        <f>+'FY21'!G57*(1+MYP!$G$9)</f>
        <v>58.717628125000005</v>
      </c>
      <c r="H57" s="39">
        <f>+'FY21'!H57*(1+MYP!$G$9)</f>
        <v>58.717628125000005</v>
      </c>
      <c r="I57" s="39">
        <f>+'FY21'!I57*(1+MYP!$G$9)</f>
        <v>58.717628125000005</v>
      </c>
      <c r="J57" s="39">
        <f>+'FY21'!J57*(1+MYP!$G$9)</f>
        <v>58.717628125000005</v>
      </c>
      <c r="K57" s="39">
        <f>+'FY21'!K57*(1+MYP!$G$9)</f>
        <v>58.717628125000005</v>
      </c>
      <c r="L57" s="39">
        <f>+'FY21'!L57*(1+MYP!$G$9)</f>
        <v>58.717628125000005</v>
      </c>
      <c r="M57" s="39">
        <f>+'FY21'!M57*(1+MYP!$G$9)</f>
        <v>58.717628125000005</v>
      </c>
      <c r="N57" s="39">
        <f>+'FY21'!N57*(1+MYP!$G$9)</f>
        <v>58.717628125000005</v>
      </c>
      <c r="O57" s="39">
        <f>+'FY21'!O57*(1+MYP!$G$9)</f>
        <v>58.717628125000005</v>
      </c>
      <c r="P57" s="39">
        <f>+'FY21'!P57*(1+MYP!$G$9)</f>
        <v>58.717628125000005</v>
      </c>
      <c r="Q57" s="36"/>
      <c r="R57" s="41"/>
      <c r="S57" s="59">
        <f t="shared" si="17"/>
        <v>704.61153750000028</v>
      </c>
      <c r="T57" s="41"/>
      <c r="U57" s="39">
        <f>'FY21'!S57</f>
        <v>690.79562499999986</v>
      </c>
      <c r="V57" s="39">
        <f t="shared" si="18"/>
        <v>-13.815912500000422</v>
      </c>
      <c r="W57" s="39"/>
    </row>
    <row r="58" spans="3:23" s="37" customFormat="1" ht="12" x14ac:dyDescent="0.2">
      <c r="C58" s="200">
        <v>6277</v>
      </c>
      <c r="D58" s="37" t="s">
        <v>226</v>
      </c>
      <c r="E58" s="39">
        <f>+'FY21'!E58*(1+MYP!$G$9)</f>
        <v>49.28359669999999</v>
      </c>
      <c r="F58" s="39">
        <f>+'FY21'!F58*(1+MYP!$G$9)</f>
        <v>49.28359669999999</v>
      </c>
      <c r="G58" s="39">
        <f>+'FY21'!G58*(1+MYP!$G$9)</f>
        <v>49.28359669999999</v>
      </c>
      <c r="H58" s="39">
        <f>+'FY21'!H58*(1+MYP!$G$9)</f>
        <v>49.28359669999999</v>
      </c>
      <c r="I58" s="39">
        <f>+'FY21'!I58*(1+MYP!$G$9)</f>
        <v>49.28359669999999</v>
      </c>
      <c r="J58" s="39">
        <f>+'FY21'!J58*(1+MYP!$G$9)</f>
        <v>49.28359669999999</v>
      </c>
      <c r="K58" s="39">
        <f>+'FY21'!K58*(1+MYP!$G$9)</f>
        <v>49.28359669999999</v>
      </c>
      <c r="L58" s="39">
        <f>+'FY21'!L58*(1+MYP!$G$9)</f>
        <v>49.28359669999999</v>
      </c>
      <c r="M58" s="39">
        <f>+'FY21'!M58*(1+MYP!$G$9)</f>
        <v>49.28359669999999</v>
      </c>
      <c r="N58" s="39">
        <f>+'FY21'!N58*(1+MYP!$G$9)</f>
        <v>49.28359669999999</v>
      </c>
      <c r="O58" s="39">
        <f>+'FY21'!O58*(1+MYP!$G$9)</f>
        <v>49.28359669999999</v>
      </c>
      <c r="P58" s="39">
        <f>+'FY21'!P58*(1+MYP!$G$9)</f>
        <v>49.28359669999999</v>
      </c>
      <c r="Q58" s="36"/>
      <c r="R58" s="41"/>
      <c r="S58" s="59">
        <f t="shared" si="17"/>
        <v>591.40316039999982</v>
      </c>
      <c r="T58" s="41"/>
      <c r="U58" s="39">
        <f>'FY21'!S58</f>
        <v>579.80701999999985</v>
      </c>
      <c r="V58" s="39">
        <f t="shared" si="18"/>
        <v>-11.596140399999967</v>
      </c>
      <c r="W58" s="39"/>
    </row>
    <row r="59" spans="3:23" s="37" customFormat="1" ht="12" x14ac:dyDescent="0.2">
      <c r="C59" s="200">
        <v>6281</v>
      </c>
      <c r="D59" s="37" t="s">
        <v>193</v>
      </c>
      <c r="E59" s="39">
        <f>+'FY21'!E59*(1+MYP!$G$9)</f>
        <v>826.2</v>
      </c>
      <c r="F59" s="39">
        <f>+'FY21'!F59*(1+MYP!$G$9)</f>
        <v>826.2</v>
      </c>
      <c r="G59" s="39">
        <f>+'FY21'!G59*(1+MYP!$G$9)</f>
        <v>826.2</v>
      </c>
      <c r="H59" s="39">
        <f>+'FY21'!H59*(1+MYP!$G$9)</f>
        <v>826.2</v>
      </c>
      <c r="I59" s="39">
        <f>+'FY21'!I59*(1+MYP!$G$9)</f>
        <v>826.2</v>
      </c>
      <c r="J59" s="39">
        <f>+'FY21'!J59*(1+MYP!$G$9)</f>
        <v>826.2</v>
      </c>
      <c r="K59" s="39">
        <f>+'FY21'!K59*(1+MYP!$G$9)</f>
        <v>826.2</v>
      </c>
      <c r="L59" s="39">
        <f>+'FY21'!L59*(1+MYP!$G$9)</f>
        <v>826.2</v>
      </c>
      <c r="M59" s="39">
        <f>+'FY21'!M59*(1+MYP!$G$9)</f>
        <v>826.2</v>
      </c>
      <c r="N59" s="39">
        <f>+'FY21'!N59*(1+MYP!$G$9)</f>
        <v>826.2</v>
      </c>
      <c r="O59" s="39">
        <f>+'FY21'!O59*(1+MYP!$G$9)</f>
        <v>826.2</v>
      </c>
      <c r="P59" s="39">
        <f>+'FY21'!P59*(1+MYP!$G$9)</f>
        <v>826.2</v>
      </c>
      <c r="Q59" s="36"/>
      <c r="R59" s="41"/>
      <c r="S59" s="59">
        <f t="shared" si="17"/>
        <v>9914.4000000000015</v>
      </c>
      <c r="T59" s="41"/>
      <c r="U59" s="39">
        <f>'FY21'!S59</f>
        <v>9720</v>
      </c>
      <c r="V59" s="39">
        <f t="shared" si="18"/>
        <v>-194.40000000000146</v>
      </c>
      <c r="W59" s="39"/>
    </row>
    <row r="60" spans="3:23" s="37" customFormat="1" ht="12" x14ac:dyDescent="0.2">
      <c r="C60" s="200">
        <v>6284</v>
      </c>
      <c r="D60" s="37" t="s">
        <v>194</v>
      </c>
      <c r="E60" s="39">
        <f>+'FY21'!E60*(1+MYP!$G$9)</f>
        <v>413.1</v>
      </c>
      <c r="F60" s="39">
        <f>+'FY21'!F60*(1+MYP!$G$9)</f>
        <v>413.1</v>
      </c>
      <c r="G60" s="39">
        <f>+'FY21'!G60*(1+MYP!$G$9)</f>
        <v>413.1</v>
      </c>
      <c r="H60" s="39">
        <f>+'FY21'!H60*(1+MYP!$G$9)</f>
        <v>413.1</v>
      </c>
      <c r="I60" s="39">
        <f>+'FY21'!I60*(1+MYP!$G$9)</f>
        <v>413.1</v>
      </c>
      <c r="J60" s="39">
        <f>+'FY21'!J60*(1+MYP!$G$9)</f>
        <v>413.1</v>
      </c>
      <c r="K60" s="39">
        <f>+'FY21'!K60*(1+MYP!$G$9)</f>
        <v>413.1</v>
      </c>
      <c r="L60" s="39">
        <f>+'FY21'!L60*(1+MYP!$G$9)</f>
        <v>413.1</v>
      </c>
      <c r="M60" s="39">
        <f>+'FY21'!M60*(1+MYP!$G$9)</f>
        <v>413.1</v>
      </c>
      <c r="N60" s="39">
        <f>+'FY21'!N60*(1+MYP!$G$9)</f>
        <v>413.1</v>
      </c>
      <c r="O60" s="39">
        <f>+'FY21'!O60*(1+MYP!$G$9)</f>
        <v>413.1</v>
      </c>
      <c r="P60" s="39">
        <f>+'FY21'!P60*(1+MYP!$G$9)</f>
        <v>413.1</v>
      </c>
      <c r="Q60" s="98"/>
      <c r="R60" s="41"/>
      <c r="S60" s="59">
        <f t="shared" si="17"/>
        <v>4957.2000000000007</v>
      </c>
      <c r="T60" s="41"/>
      <c r="U60" s="39">
        <f>'FY21'!S60</f>
        <v>4860</v>
      </c>
      <c r="V60" s="39">
        <f t="shared" si="18"/>
        <v>-97.200000000000728</v>
      </c>
      <c r="W60" s="39"/>
    </row>
    <row r="61" spans="3:23" s="37" customFormat="1" ht="12" x14ac:dyDescent="0.2">
      <c r="C61" s="200">
        <v>6287</v>
      </c>
      <c r="D61" s="37" t="s">
        <v>227</v>
      </c>
      <c r="E61" s="39">
        <f>+'FY21'!E61*(1+MYP!$G$9)</f>
        <v>413.1</v>
      </c>
      <c r="F61" s="39">
        <f>+'FY21'!F61*(1+MYP!$G$9)</f>
        <v>413.1</v>
      </c>
      <c r="G61" s="39">
        <f>+'FY21'!G61*(1+MYP!$G$9)</f>
        <v>413.1</v>
      </c>
      <c r="H61" s="39">
        <f>+'FY21'!H61*(1+MYP!$G$9)</f>
        <v>413.1</v>
      </c>
      <c r="I61" s="39">
        <f>+'FY21'!I61*(1+MYP!$G$9)</f>
        <v>413.1</v>
      </c>
      <c r="J61" s="39">
        <f>+'FY21'!J61*(1+MYP!$G$9)</f>
        <v>413.1</v>
      </c>
      <c r="K61" s="39">
        <f>+'FY21'!K61*(1+MYP!$G$9)</f>
        <v>413.1</v>
      </c>
      <c r="L61" s="39">
        <f>+'FY21'!L61*(1+MYP!$G$9)</f>
        <v>413.1</v>
      </c>
      <c r="M61" s="39">
        <f>+'FY21'!M61*(1+MYP!$G$9)</f>
        <v>413.1</v>
      </c>
      <c r="N61" s="39">
        <f>+'FY21'!N61*(1+MYP!$G$9)</f>
        <v>413.1</v>
      </c>
      <c r="O61" s="39">
        <f>+'FY21'!O61*(1+MYP!$G$9)</f>
        <v>413.1</v>
      </c>
      <c r="P61" s="39">
        <f>+'FY21'!P61*(1+MYP!$G$9)</f>
        <v>413.1</v>
      </c>
      <c r="Q61" s="98"/>
      <c r="R61" s="41"/>
      <c r="S61" s="59">
        <f t="shared" si="17"/>
        <v>4957.2000000000007</v>
      </c>
      <c r="T61" s="41"/>
      <c r="U61" s="39">
        <f>'FY21'!S61</f>
        <v>4860</v>
      </c>
      <c r="V61" s="39">
        <f t="shared" si="18"/>
        <v>-97.200000000000728</v>
      </c>
      <c r="W61" s="39"/>
    </row>
    <row r="62" spans="3:23" s="37" customFormat="1" ht="12" x14ac:dyDescent="0.2">
      <c r="C62" s="38"/>
      <c r="E62" s="50">
        <f t="shared" ref="E62:P62" si="19">SUBTOTAL(9,E43:E61)</f>
        <v>7217.2099015125013</v>
      </c>
      <c r="F62" s="50">
        <f t="shared" si="19"/>
        <v>7217.2099015125013</v>
      </c>
      <c r="G62" s="50">
        <f t="shared" si="19"/>
        <v>7264.2273115125008</v>
      </c>
      <c r="H62" s="50">
        <f t="shared" si="19"/>
        <v>7260.8404015125006</v>
      </c>
      <c r="I62" s="50">
        <f t="shared" si="19"/>
        <v>7241.3028115125007</v>
      </c>
      <c r="J62" s="50">
        <f t="shared" si="19"/>
        <v>7227.5629015125005</v>
      </c>
      <c r="K62" s="50">
        <f t="shared" si="19"/>
        <v>7241.3028115125007</v>
      </c>
      <c r="L62" s="50">
        <f t="shared" si="19"/>
        <v>7250.4874015125015</v>
      </c>
      <c r="M62" s="50">
        <f t="shared" si="19"/>
        <v>7264.2273115125008</v>
      </c>
      <c r="N62" s="50">
        <f t="shared" si="19"/>
        <v>7230.9498115125007</v>
      </c>
      <c r="O62" s="50">
        <f t="shared" si="19"/>
        <v>7217.2099015125013</v>
      </c>
      <c r="P62" s="50">
        <f t="shared" si="19"/>
        <v>7250.4874015125006</v>
      </c>
      <c r="Q62" s="99"/>
      <c r="R62" s="41"/>
      <c r="S62" s="61">
        <f>SUBTOTAL(9,S43:S61)</f>
        <v>86883.017868149997</v>
      </c>
      <c r="T62" s="41"/>
      <c r="U62" s="50">
        <f>SUBTOTAL(9,U43:U61)</f>
        <v>85179.429282499987</v>
      </c>
      <c r="V62" s="50">
        <f>SUBTOTAL(9,V43:V61)</f>
        <v>-1703.5885856500097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200">
        <v>6300</v>
      </c>
      <c r="D64" s="37" t="s">
        <v>9</v>
      </c>
      <c r="E64" s="39">
        <v>4321.5</v>
      </c>
      <c r="F64" s="39">
        <f>+'FY21'!F64*(1+MYP!$G$9)</f>
        <v>196.35</v>
      </c>
      <c r="G64" s="39">
        <f>+'FY21'!G64*(1+MYP!$G$9)</f>
        <v>196.35</v>
      </c>
      <c r="H64" s="39">
        <f>+'FY21'!H64*(1+MYP!$G$9)</f>
        <v>196.35</v>
      </c>
      <c r="I64" s="39">
        <f>+'FY21'!I64*(1+MYP!$G$9)</f>
        <v>196.35</v>
      </c>
      <c r="J64" s="39">
        <f>+'FY21'!J64*(1+MYP!$G$9)</f>
        <v>196.35</v>
      </c>
      <c r="K64" s="39">
        <f>+'FY21'!K64*(1+MYP!$G$9)</f>
        <v>196.35</v>
      </c>
      <c r="L64" s="39">
        <f>+'FY21'!L64*(1+MYP!$G$9)</f>
        <v>196.35</v>
      </c>
      <c r="M64" s="39">
        <f>+'FY21'!M64*(1+MYP!$G$9)</f>
        <v>196.35</v>
      </c>
      <c r="N64" s="39">
        <f>+'FY21'!N64*(1+MYP!$G$9)</f>
        <v>196.35</v>
      </c>
      <c r="O64" s="39">
        <f>+'FY21'!O64*(1+MYP!$G$9)</f>
        <v>196.35</v>
      </c>
      <c r="P64" s="39">
        <f>+'FY21'!P64*(1+MYP!$G$9)</f>
        <v>196.35</v>
      </c>
      <c r="Q64" s="100"/>
      <c r="R64" s="41"/>
      <c r="S64" s="59">
        <f t="shared" ref="S64:S73" si="20">SUM(E64:Q64)</f>
        <v>6481.350000000004</v>
      </c>
      <c r="T64" s="41"/>
      <c r="U64" s="39">
        <f>'FY21'!S64</f>
        <v>2310</v>
      </c>
      <c r="V64" s="39">
        <f t="shared" ref="V64:V73" si="21">U64-S64</f>
        <v>-4171.350000000004</v>
      </c>
      <c r="W64" s="39"/>
    </row>
    <row r="65" spans="3:23" s="37" customFormat="1" ht="12" x14ac:dyDescent="0.2">
      <c r="C65" s="200">
        <v>6320</v>
      </c>
      <c r="D65" s="37" t="s">
        <v>10</v>
      </c>
      <c r="E65" s="39">
        <f>+'FY21'!E65*(1+MYP!$G$9)</f>
        <v>212.5</v>
      </c>
      <c r="F65" s="39">
        <f>+'FY21'!F65*(1+MYP!$G$9)</f>
        <v>212.5</v>
      </c>
      <c r="G65" s="39">
        <f>+'FY21'!G65*(1+MYP!$G$9)</f>
        <v>212.5</v>
      </c>
      <c r="H65" s="39">
        <f>+'FY21'!H65*(1+MYP!$G$9)</f>
        <v>212.5</v>
      </c>
      <c r="I65" s="39">
        <f>+'FY21'!I65*(1+MYP!$G$9)</f>
        <v>212.5</v>
      </c>
      <c r="J65" s="39">
        <f>+'FY21'!J65*(1+MYP!$G$9)</f>
        <v>212.5</v>
      </c>
      <c r="K65" s="39">
        <f>+'FY21'!K65*(1+MYP!$G$9)</f>
        <v>212.5</v>
      </c>
      <c r="L65" s="39">
        <f>+'FY21'!L65*(1+MYP!$G$9)</f>
        <v>212.5</v>
      </c>
      <c r="M65" s="39">
        <f>+'FY21'!M65*(1+MYP!$G$9)</f>
        <v>212.5</v>
      </c>
      <c r="N65" s="39">
        <f>+'FY21'!N65*(1+MYP!$G$9)</f>
        <v>212.5</v>
      </c>
      <c r="O65" s="39">
        <f>+'FY21'!O65*(1+MYP!$G$9)</f>
        <v>212.5</v>
      </c>
      <c r="P65" s="39">
        <f>+'FY21'!P65*(1+MYP!$G$9)</f>
        <v>212.5</v>
      </c>
      <c r="Q65" s="100"/>
      <c r="R65" s="41"/>
      <c r="S65" s="59">
        <f t="shared" si="20"/>
        <v>2550</v>
      </c>
      <c r="T65" s="41"/>
      <c r="U65" s="39">
        <f>'FY21'!S65</f>
        <v>2500</v>
      </c>
      <c r="V65" s="39">
        <f t="shared" si="21"/>
        <v>-50</v>
      </c>
      <c r="W65" s="39"/>
    </row>
    <row r="66" spans="3:23" s="37" customFormat="1" ht="12" x14ac:dyDescent="0.2">
      <c r="C66" s="200">
        <v>6331</v>
      </c>
      <c r="D66" s="37" t="s">
        <v>11</v>
      </c>
      <c r="E66" s="39">
        <f>+'FY21'!E66*(1+MYP!$G$9)</f>
        <v>85</v>
      </c>
      <c r="F66" s="39">
        <f>+'FY21'!F66*(1+MYP!$G$9)</f>
        <v>85</v>
      </c>
      <c r="G66" s="39">
        <f>+'FY21'!G66*(1+MYP!$G$9)</f>
        <v>85</v>
      </c>
      <c r="H66" s="39">
        <f>+'FY21'!H66*(1+MYP!$G$9)</f>
        <v>85</v>
      </c>
      <c r="I66" s="39">
        <f>+'FY21'!I66*(1+MYP!$G$9)</f>
        <v>85</v>
      </c>
      <c r="J66" s="39">
        <f>+'FY21'!J66*(1+MYP!$G$9)</f>
        <v>85</v>
      </c>
      <c r="K66" s="39">
        <f>+'FY21'!K66*(1+MYP!$G$9)</f>
        <v>85</v>
      </c>
      <c r="L66" s="39">
        <f>+'FY21'!L66*(1+MYP!$G$9)</f>
        <v>85</v>
      </c>
      <c r="M66" s="39">
        <f>+'FY21'!M66*(1+MYP!$G$9)</f>
        <v>85</v>
      </c>
      <c r="N66" s="39">
        <f>+'FY21'!N66*(1+MYP!$G$9)</f>
        <v>85</v>
      </c>
      <c r="O66" s="39">
        <f>+'FY21'!O66*(1+MYP!$G$9)</f>
        <v>85</v>
      </c>
      <c r="P66" s="39">
        <f>+'FY21'!P66*(1+MYP!$G$9)</f>
        <v>85</v>
      </c>
      <c r="Q66" s="100"/>
      <c r="R66" s="41"/>
      <c r="S66" s="59">
        <f t="shared" si="20"/>
        <v>1020</v>
      </c>
      <c r="T66" s="41"/>
      <c r="U66" s="39">
        <f>'FY21'!S66</f>
        <v>1000.0000000000001</v>
      </c>
      <c r="V66" s="39">
        <f t="shared" si="21"/>
        <v>-19.999999999999886</v>
      </c>
      <c r="W66" s="39"/>
    </row>
    <row r="67" spans="3:23" s="37" customFormat="1" ht="12" x14ac:dyDescent="0.2">
      <c r="C67" s="200">
        <v>6334</v>
      </c>
      <c r="D67" s="37" t="s">
        <v>12</v>
      </c>
      <c r="E67" s="39">
        <f>+'FY21'!E67*(1+MYP!$G$9)</f>
        <v>63.75</v>
      </c>
      <c r="F67" s="39">
        <f>+'FY21'!F67*(1+MYP!$G$9)</f>
        <v>63.75</v>
      </c>
      <c r="G67" s="39">
        <f>+'FY21'!G67*(1+MYP!$G$9)</f>
        <v>63.75</v>
      </c>
      <c r="H67" s="39">
        <f>+'FY21'!H67*(1+MYP!$G$9)</f>
        <v>63.75</v>
      </c>
      <c r="I67" s="39">
        <f>+'FY21'!I67*(1+MYP!$G$9)</f>
        <v>63.75</v>
      </c>
      <c r="J67" s="39">
        <f>+'FY21'!J67*(1+MYP!$G$9)</f>
        <v>63.75</v>
      </c>
      <c r="K67" s="39">
        <f>+'FY21'!K67*(1+MYP!$G$9)</f>
        <v>63.75</v>
      </c>
      <c r="L67" s="39">
        <f>+'FY21'!L67*(1+MYP!$G$9)</f>
        <v>63.75</v>
      </c>
      <c r="M67" s="39">
        <f>+'FY21'!M67*(1+MYP!$G$9)</f>
        <v>63.75</v>
      </c>
      <c r="N67" s="39">
        <f>+'FY21'!N67*(1+MYP!$G$9)</f>
        <v>63.75</v>
      </c>
      <c r="O67" s="39">
        <f>+'FY21'!O67*(1+MYP!$G$9)</f>
        <v>63.75</v>
      </c>
      <c r="P67" s="39">
        <f>+'FY21'!P67*(1+MYP!$G$9)</f>
        <v>63.75</v>
      </c>
      <c r="Q67" s="100"/>
      <c r="R67" s="41"/>
      <c r="S67" s="59">
        <f t="shared" si="20"/>
        <v>765</v>
      </c>
      <c r="T67" s="41"/>
      <c r="U67" s="39">
        <f>'FY21'!S67</f>
        <v>750</v>
      </c>
      <c r="V67" s="39">
        <f t="shared" si="21"/>
        <v>-15</v>
      </c>
      <c r="W67" s="39"/>
    </row>
    <row r="68" spans="3:23" s="37" customFormat="1" ht="12" x14ac:dyDescent="0.2">
      <c r="C68" s="200">
        <v>6336</v>
      </c>
      <c r="D68" s="37" t="s">
        <v>13</v>
      </c>
      <c r="E68" s="39">
        <f>+'FY21'!E68*(1+MYP!$G$9)</f>
        <v>0</v>
      </c>
      <c r="F68" s="39">
        <f>+'FY21'!F68*(1+MYP!$G$9)</f>
        <v>0</v>
      </c>
      <c r="G68" s="39">
        <f>+'FY21'!G68*(1+MYP!$G$9)</f>
        <v>0</v>
      </c>
      <c r="H68" s="39">
        <f>+'FY21'!H68*(1+MYP!$G$9)</f>
        <v>0</v>
      </c>
      <c r="I68" s="39">
        <f>+'FY21'!I68*(1+MYP!$G$9)</f>
        <v>0</v>
      </c>
      <c r="J68" s="39">
        <f>+'FY21'!J68*(1+MYP!$G$9)</f>
        <v>0</v>
      </c>
      <c r="K68" s="39">
        <f>+'FY21'!K68*(1+MYP!$G$9)</f>
        <v>0</v>
      </c>
      <c r="L68" s="39">
        <f>+'FY21'!L68*(1+MYP!$G$9)</f>
        <v>0</v>
      </c>
      <c r="M68" s="39">
        <f>+'FY21'!M68*(1+MYP!$G$9)</f>
        <v>0</v>
      </c>
      <c r="N68" s="39">
        <f>+'FY21'!N68*(1+MYP!$G$9)</f>
        <v>0</v>
      </c>
      <c r="O68" s="39">
        <f>+'FY21'!O68*(1+MYP!$G$9)</f>
        <v>0</v>
      </c>
      <c r="P68" s="39">
        <f>+'FY21'!P68*(1+MYP!$G$9)</f>
        <v>0</v>
      </c>
      <c r="Q68" s="100"/>
      <c r="R68" s="41"/>
      <c r="S68" s="59">
        <f t="shared" si="20"/>
        <v>0</v>
      </c>
      <c r="T68" s="41"/>
      <c r="U68" s="39">
        <f>'FY21'!S68</f>
        <v>0</v>
      </c>
      <c r="V68" s="39">
        <f t="shared" si="21"/>
        <v>0</v>
      </c>
      <c r="W68" s="39"/>
    </row>
    <row r="69" spans="3:23" s="37" customFormat="1" ht="12" x14ac:dyDescent="0.2">
      <c r="C69" s="200">
        <v>6337</v>
      </c>
      <c r="D69" s="37" t="s">
        <v>14</v>
      </c>
      <c r="E69" s="39">
        <f>+'FY21'!E69*(1+MYP!$G$9)</f>
        <v>42.5</v>
      </c>
      <c r="F69" s="39">
        <f>+'FY21'!F69*(1+MYP!$G$9)</f>
        <v>42.5</v>
      </c>
      <c r="G69" s="39">
        <f>+'FY21'!G69*(1+MYP!$G$9)</f>
        <v>42.5</v>
      </c>
      <c r="H69" s="39">
        <f>+'FY21'!H69*(1+MYP!$G$9)</f>
        <v>42.5</v>
      </c>
      <c r="I69" s="39">
        <f>+'FY21'!I69*(1+MYP!$G$9)</f>
        <v>42.5</v>
      </c>
      <c r="J69" s="39">
        <f>+'FY21'!J69*(1+MYP!$G$9)</f>
        <v>42.5</v>
      </c>
      <c r="K69" s="39">
        <f>+'FY21'!K69*(1+MYP!$G$9)</f>
        <v>42.5</v>
      </c>
      <c r="L69" s="39">
        <f>+'FY21'!L69*(1+MYP!$G$9)</f>
        <v>42.5</v>
      </c>
      <c r="M69" s="39">
        <f>+'FY21'!M69*(1+MYP!$G$9)</f>
        <v>42.5</v>
      </c>
      <c r="N69" s="39">
        <f>+'FY21'!N69*(1+MYP!$G$9)</f>
        <v>42.5</v>
      </c>
      <c r="O69" s="39">
        <f>+'FY21'!O69*(1+MYP!$G$9)</f>
        <v>42.5</v>
      </c>
      <c r="P69" s="39">
        <f>+'FY21'!P69*(1+MYP!$G$9)</f>
        <v>42.5</v>
      </c>
      <c r="Q69" s="100"/>
      <c r="R69" s="41"/>
      <c r="S69" s="59">
        <f t="shared" si="20"/>
        <v>510</v>
      </c>
      <c r="T69" s="41"/>
      <c r="U69" s="39">
        <f>'FY21'!S69</f>
        <v>500.00000000000006</v>
      </c>
      <c r="V69" s="39">
        <f t="shared" si="21"/>
        <v>-9.9999999999999432</v>
      </c>
      <c r="W69" s="39"/>
    </row>
    <row r="70" spans="3:23" s="37" customFormat="1" ht="12" x14ac:dyDescent="0.2">
      <c r="C70" s="200">
        <v>6340</v>
      </c>
      <c r="D70" s="37" t="s">
        <v>15</v>
      </c>
      <c r="E70" s="39">
        <f>+'FY21'!E70*(1+MYP!$G$9)</f>
        <v>2478.6</v>
      </c>
      <c r="F70" s="39">
        <f>+'FY21'!F70*(1+MYP!$G$9)</f>
        <v>2478.6</v>
      </c>
      <c r="G70" s="39">
        <f>+'FY21'!G70*(1+MYP!$G$9)</f>
        <v>2478.6</v>
      </c>
      <c r="H70" s="39">
        <f>+'FY21'!H70*(1+MYP!$G$9)</f>
        <v>2478.6</v>
      </c>
      <c r="I70" s="39">
        <f>+'FY21'!I70*(1+MYP!$G$9)</f>
        <v>2478.6</v>
      </c>
      <c r="J70" s="39">
        <f>+'FY21'!J70*(1+MYP!$G$9)</f>
        <v>2478.6</v>
      </c>
      <c r="K70" s="39">
        <f>+'FY21'!K70*(1+MYP!$G$9)</f>
        <v>2478.6</v>
      </c>
      <c r="L70" s="39">
        <f>+'FY21'!L70*(1+MYP!$G$9)</f>
        <v>2478.6</v>
      </c>
      <c r="M70" s="39">
        <f>+'FY21'!M70*(1+MYP!$G$9)</f>
        <v>2478.6</v>
      </c>
      <c r="N70" s="39">
        <f>+'FY21'!N70*(1+MYP!$G$9)</f>
        <v>2478.6</v>
      </c>
      <c r="O70" s="39">
        <f>+'FY21'!O70*(1+MYP!$G$9)</f>
        <v>2478.6</v>
      </c>
      <c r="P70" s="39">
        <f>+'FY21'!P70*(1+MYP!$G$9)</f>
        <v>2478.6</v>
      </c>
      <c r="Q70" s="100"/>
      <c r="R70" s="41"/>
      <c r="S70" s="59">
        <f t="shared" si="20"/>
        <v>29743.199999999993</v>
      </c>
      <c r="T70" s="41"/>
      <c r="U70" s="39">
        <f>'FY21'!S70</f>
        <v>29160</v>
      </c>
      <c r="V70" s="39">
        <f t="shared" si="21"/>
        <v>-583.19999999999345</v>
      </c>
      <c r="W70" s="39"/>
    </row>
    <row r="71" spans="3:23" s="37" customFormat="1" ht="12" x14ac:dyDescent="0.2">
      <c r="C71" s="200">
        <v>6345</v>
      </c>
      <c r="D71" s="37" t="s">
        <v>16</v>
      </c>
      <c r="E71" s="39">
        <f>+'FY21'!E71*(1+MYP!$G$9)</f>
        <v>0</v>
      </c>
      <c r="F71" s="39">
        <f>+'FY21'!F71*(1+MYP!$G$9)</f>
        <v>0</v>
      </c>
      <c r="G71" s="39">
        <f>+'FY21'!G71*(1+MYP!$G$9)</f>
        <v>0</v>
      </c>
      <c r="H71" s="39">
        <f>+'FY21'!H71*(1+MYP!$G$9)</f>
        <v>0</v>
      </c>
      <c r="I71" s="39">
        <f>+'FY21'!I71*(1+MYP!$G$9)</f>
        <v>0</v>
      </c>
      <c r="J71" s="39">
        <f>+'FY21'!J71*(1+MYP!$G$9)</f>
        <v>0</v>
      </c>
      <c r="K71" s="39">
        <f>+'FY21'!K71*(1+MYP!$G$9)</f>
        <v>0</v>
      </c>
      <c r="L71" s="39">
        <f>+'FY21'!L71*(1+MYP!$G$9)</f>
        <v>0</v>
      </c>
      <c r="M71" s="39">
        <f>+'FY21'!M71*(1+MYP!$G$9)</f>
        <v>0</v>
      </c>
      <c r="N71" s="39">
        <f>+'FY21'!N71*(1+MYP!$G$9)</f>
        <v>0</v>
      </c>
      <c r="O71" s="39">
        <f>+'FY21'!O71*(1+MYP!$G$9)</f>
        <v>0</v>
      </c>
      <c r="P71" s="39">
        <f>+'FY21'!P71*(1+MYP!$G$9)</f>
        <v>0</v>
      </c>
      <c r="Q71" s="100"/>
      <c r="R71" s="41"/>
      <c r="S71" s="59">
        <f t="shared" si="20"/>
        <v>0</v>
      </c>
      <c r="T71" s="41"/>
      <c r="U71" s="39">
        <f>'FY21'!S71</f>
        <v>0</v>
      </c>
      <c r="V71" s="39">
        <f t="shared" si="21"/>
        <v>0</v>
      </c>
      <c r="W71" s="39"/>
    </row>
    <row r="72" spans="3:23" s="37" customFormat="1" ht="12" x14ac:dyDescent="0.2">
      <c r="C72" s="200">
        <v>6350</v>
      </c>
      <c r="D72" s="37" t="s">
        <v>17</v>
      </c>
      <c r="E72" s="39">
        <f>+'FY21'!E72*(1+MYP!$G$9)</f>
        <v>170</v>
      </c>
      <c r="F72" s="39">
        <f>+'FY21'!F72*(1+MYP!$G$9)</f>
        <v>170</v>
      </c>
      <c r="G72" s="39">
        <f>+'FY21'!G72*(1+MYP!$G$9)</f>
        <v>170</v>
      </c>
      <c r="H72" s="39">
        <f>+'FY21'!H72*(1+MYP!$G$9)</f>
        <v>170</v>
      </c>
      <c r="I72" s="39">
        <f>+'FY21'!I72*(1+MYP!$G$9)</f>
        <v>170</v>
      </c>
      <c r="J72" s="39">
        <f>+'FY21'!J72*(1+MYP!$G$9)</f>
        <v>170</v>
      </c>
      <c r="K72" s="39">
        <f>+'FY21'!K72*(1+MYP!$G$9)</f>
        <v>170</v>
      </c>
      <c r="L72" s="39">
        <f>+'FY21'!L72*(1+MYP!$G$9)</f>
        <v>170</v>
      </c>
      <c r="M72" s="39">
        <f>+'FY21'!M72*(1+MYP!$G$9)</f>
        <v>170</v>
      </c>
      <c r="N72" s="39">
        <f>+'FY21'!N72*(1+MYP!$G$9)</f>
        <v>170</v>
      </c>
      <c r="O72" s="39">
        <f>+'FY21'!O72*(1+MYP!$G$9)</f>
        <v>170</v>
      </c>
      <c r="P72" s="39">
        <f>+'FY21'!P72*(1+MYP!$G$9)</f>
        <v>170</v>
      </c>
      <c r="Q72" s="100"/>
      <c r="R72" s="41"/>
      <c r="S72" s="59">
        <f t="shared" si="20"/>
        <v>2040</v>
      </c>
      <c r="T72" s="41"/>
      <c r="U72" s="39">
        <f>'FY21'!S72</f>
        <v>2000.0000000000002</v>
      </c>
      <c r="V72" s="39">
        <f t="shared" si="21"/>
        <v>-39.999999999999773</v>
      </c>
      <c r="W72" s="39"/>
    </row>
    <row r="73" spans="3:23" s="37" customFormat="1" ht="12" x14ac:dyDescent="0.2">
      <c r="C73" s="200">
        <v>6351</v>
      </c>
      <c r="D73" s="37" t="s">
        <v>18</v>
      </c>
      <c r="E73" s="39">
        <f>+'FY21'!E73*(1+MYP!$G$9)</f>
        <v>0</v>
      </c>
      <c r="F73" s="39">
        <f>+'FY21'!F73*(1+MYP!$G$9)</f>
        <v>0</v>
      </c>
      <c r="G73" s="39">
        <f>+'FY21'!G73*(1+MYP!$G$9)</f>
        <v>0</v>
      </c>
      <c r="H73" s="39">
        <f>+'FY21'!H73*(1+MYP!$G$9)</f>
        <v>0</v>
      </c>
      <c r="I73" s="39">
        <f>+'FY21'!I73*(1+MYP!$G$9)</f>
        <v>0</v>
      </c>
      <c r="J73" s="39">
        <f>+'FY21'!J73*(1+MYP!$G$9)</f>
        <v>0</v>
      </c>
      <c r="K73" s="39">
        <f>+'FY21'!K73*(1+MYP!$G$9)</f>
        <v>0</v>
      </c>
      <c r="L73" s="39">
        <f>+'FY21'!L73*(1+MYP!$G$9)</f>
        <v>0</v>
      </c>
      <c r="M73" s="39">
        <f>+'FY21'!M73*(1+MYP!$G$9)</f>
        <v>0</v>
      </c>
      <c r="N73" s="39">
        <f>+'FY21'!N73*(1+MYP!$G$9)</f>
        <v>0</v>
      </c>
      <c r="O73" s="39">
        <f>+'FY21'!O73*(1+MYP!$G$9)</f>
        <v>0</v>
      </c>
      <c r="P73" s="39">
        <f>+'FY21'!P73*(1+MYP!$G$9)</f>
        <v>0</v>
      </c>
      <c r="Q73" s="100"/>
      <c r="R73" s="41"/>
      <c r="S73" s="59">
        <f t="shared" si="20"/>
        <v>0</v>
      </c>
      <c r="T73" s="41"/>
      <c r="U73" s="39">
        <f>'FY21'!S73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7373.85</v>
      </c>
      <c r="F74" s="50">
        <f t="shared" ref="F74:V74" si="22">SUBTOTAL(9,F64:F73)</f>
        <v>3248.7</v>
      </c>
      <c r="G74" s="50">
        <f t="shared" si="22"/>
        <v>3248.7</v>
      </c>
      <c r="H74" s="50">
        <f t="shared" si="22"/>
        <v>3248.7</v>
      </c>
      <c r="I74" s="50">
        <f t="shared" si="22"/>
        <v>3248.7</v>
      </c>
      <c r="J74" s="50">
        <f t="shared" si="22"/>
        <v>3248.7</v>
      </c>
      <c r="K74" s="50">
        <f t="shared" si="22"/>
        <v>3248.7</v>
      </c>
      <c r="L74" s="50">
        <f t="shared" si="22"/>
        <v>3248.7</v>
      </c>
      <c r="M74" s="50">
        <f t="shared" si="22"/>
        <v>3248.7</v>
      </c>
      <c r="N74" s="50">
        <f t="shared" si="22"/>
        <v>3248.7</v>
      </c>
      <c r="O74" s="50">
        <f t="shared" si="22"/>
        <v>3248.7</v>
      </c>
      <c r="P74" s="50">
        <f t="shared" si="22"/>
        <v>3248.7</v>
      </c>
      <c r="Q74" s="99"/>
      <c r="R74" s="41"/>
      <c r="S74" s="61">
        <f t="shared" si="22"/>
        <v>43109.549999999996</v>
      </c>
      <c r="T74" s="41"/>
      <c r="U74" s="50">
        <f t="shared" si="22"/>
        <v>38220</v>
      </c>
      <c r="V74" s="50">
        <f t="shared" si="22"/>
        <v>-4889.5499999999975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200">
        <v>6410</v>
      </c>
      <c r="D76" s="37" t="s">
        <v>19</v>
      </c>
      <c r="E76" s="39">
        <f>+'FY21'!E76*(1+MYP!$G$9)</f>
        <v>204</v>
      </c>
      <c r="F76" s="39">
        <f>+'FY21'!F76*(1+MYP!$G$9)</f>
        <v>204</v>
      </c>
      <c r="G76" s="39">
        <f>+'FY21'!G76*(1+MYP!$G$9)</f>
        <v>204</v>
      </c>
      <c r="H76" s="39">
        <f>+'FY21'!H76*(1+MYP!$G$9)</f>
        <v>204</v>
      </c>
      <c r="I76" s="39">
        <f>+'FY21'!I76*(1+MYP!$G$9)</f>
        <v>204</v>
      </c>
      <c r="J76" s="39">
        <f>+'FY21'!J76*(1+MYP!$G$9)</f>
        <v>204</v>
      </c>
      <c r="K76" s="39">
        <f>+'FY21'!K76*(1+MYP!$G$9)</f>
        <v>204</v>
      </c>
      <c r="L76" s="39">
        <f>+'FY21'!L76*(1+MYP!$G$9)</f>
        <v>204</v>
      </c>
      <c r="M76" s="39">
        <f>+'FY21'!M76*(1+MYP!$G$9)</f>
        <v>204</v>
      </c>
      <c r="N76" s="39">
        <f>+'FY21'!N76*(1+MYP!$G$9)</f>
        <v>204</v>
      </c>
      <c r="O76" s="39">
        <f>+'FY21'!O76*(1+MYP!$G$9)</f>
        <v>204</v>
      </c>
      <c r="P76" s="39">
        <f>+'FY21'!P76*(1+MYP!$G$9)</f>
        <v>204</v>
      </c>
      <c r="Q76" s="100"/>
      <c r="R76" s="41"/>
      <c r="S76" s="59">
        <f t="shared" ref="S76:S79" si="23">SUM(E76:Q76)</f>
        <v>2448</v>
      </c>
      <c r="T76" s="41"/>
      <c r="U76" s="39">
        <f>'FY21'!S76</f>
        <v>2400</v>
      </c>
      <c r="V76" s="39">
        <f t="shared" ref="V76:V79" si="24">U76-S76</f>
        <v>-48</v>
      </c>
      <c r="W76" s="39"/>
    </row>
    <row r="77" spans="3:23" s="37" customFormat="1" ht="12" x14ac:dyDescent="0.2">
      <c r="C77" s="200">
        <v>6420</v>
      </c>
      <c r="D77" s="37" t="s">
        <v>20</v>
      </c>
      <c r="E77" s="39">
        <f>+'FY21'!E77*(1+MYP!$G$9)</f>
        <v>824.5</v>
      </c>
      <c r="F77" s="39">
        <f>+'FY21'!F77*(1+MYP!$G$9)</f>
        <v>824.5</v>
      </c>
      <c r="G77" s="39">
        <f>+'FY21'!G77*(1+MYP!$G$9)</f>
        <v>1691.5</v>
      </c>
      <c r="H77" s="39">
        <f>+'FY21'!H77*(1+MYP!$G$9)</f>
        <v>824.5</v>
      </c>
      <c r="I77" s="39">
        <f>+'FY21'!I77*(1+MYP!$G$9)</f>
        <v>824.5</v>
      </c>
      <c r="J77" s="39">
        <f>+'FY21'!J77*(1+MYP!$G$9)</f>
        <v>1079.5</v>
      </c>
      <c r="K77" s="39">
        <f>+'FY21'!K77*(1+MYP!$G$9)</f>
        <v>824.5</v>
      </c>
      <c r="L77" s="39">
        <f>+'FY21'!L77*(1+MYP!$G$9)</f>
        <v>824.5</v>
      </c>
      <c r="M77" s="39">
        <f>+'FY21'!M77*(1+MYP!$G$9)</f>
        <v>1079.5</v>
      </c>
      <c r="N77" s="39">
        <f>+'FY21'!N77*(1+MYP!$G$9)</f>
        <v>824.5</v>
      </c>
      <c r="O77" s="39">
        <f>+'FY21'!O77*(1+MYP!$G$9)</f>
        <v>824.5</v>
      </c>
      <c r="P77" s="39">
        <f>+'FY21'!P77*(1+MYP!$G$9)</f>
        <v>1079.5</v>
      </c>
      <c r="Q77" s="100"/>
      <c r="R77" s="41"/>
      <c r="S77" s="59">
        <f t="shared" si="23"/>
        <v>11526</v>
      </c>
      <c r="T77" s="41"/>
      <c r="U77" s="39">
        <f>'FY21'!S77</f>
        <v>11300.000000000002</v>
      </c>
      <c r="V77" s="39">
        <f t="shared" si="24"/>
        <v>-225.99999999999818</v>
      </c>
      <c r="W77" s="39"/>
    </row>
    <row r="78" spans="3:23" s="37" customFormat="1" ht="12" x14ac:dyDescent="0.2">
      <c r="C78" s="200">
        <v>6430</v>
      </c>
      <c r="D78" s="37" t="s">
        <v>21</v>
      </c>
      <c r="E78" s="39">
        <f>+'FY21'!E78*(1+MYP!$G$9)</f>
        <v>54233.4</v>
      </c>
      <c r="F78" s="39">
        <f>+'FY21'!F78*(1+MYP!$G$9)</f>
        <v>51</v>
      </c>
      <c r="G78" s="39">
        <f>+'FY21'!G78*(1+MYP!$G$9)</f>
        <v>510</v>
      </c>
      <c r="H78" s="39">
        <f>+'FY21'!H78*(1+MYP!$G$9)</f>
        <v>928.2</v>
      </c>
      <c r="I78" s="39">
        <f>+'FY21'!I78*(1+MYP!$G$9)</f>
        <v>51</v>
      </c>
      <c r="J78" s="39">
        <f>+'FY21'!J78*(1+MYP!$G$9)</f>
        <v>510</v>
      </c>
      <c r="K78" s="39">
        <f>+'FY21'!K78*(1+MYP!$G$9)</f>
        <v>51</v>
      </c>
      <c r="L78" s="39">
        <f>+'FY21'!L78*(1+MYP!$G$9)</f>
        <v>51</v>
      </c>
      <c r="M78" s="39">
        <f>+'FY21'!M78*(1+MYP!$G$9)</f>
        <v>510</v>
      </c>
      <c r="N78" s="39">
        <f>+'FY21'!N78*(1+MYP!$G$9)</f>
        <v>51</v>
      </c>
      <c r="O78" s="39">
        <f>+'FY21'!O78*(1+MYP!$G$9)</f>
        <v>994.5</v>
      </c>
      <c r="P78" s="39">
        <f>+'FY21'!P78*(1+MYP!$G$9)</f>
        <v>510</v>
      </c>
      <c r="Q78" s="100"/>
      <c r="R78" s="41"/>
      <c r="S78" s="59">
        <f t="shared" si="23"/>
        <v>58451.1</v>
      </c>
      <c r="T78" s="41"/>
      <c r="U78" s="39">
        <f>'FY21'!S78</f>
        <v>57305</v>
      </c>
      <c r="V78" s="39">
        <f t="shared" si="24"/>
        <v>-1146.0999999999985</v>
      </c>
      <c r="W78" s="39"/>
    </row>
    <row r="79" spans="3:23" s="37" customFormat="1" ht="12" x14ac:dyDescent="0.2">
      <c r="C79" s="200">
        <v>6441</v>
      </c>
      <c r="D79" s="37" t="s">
        <v>22</v>
      </c>
      <c r="E79" s="39">
        <f>+'FY21'!E79*(1+MYP!$G$9)</f>
        <v>9285.1517999999996</v>
      </c>
      <c r="F79" s="39">
        <f>+'FY21'!F79*(1+MYP!$G$9)</f>
        <v>9285.1517999999996</v>
      </c>
      <c r="G79" s="39">
        <f>+'FY21'!G79*(1+MYP!$G$9)</f>
        <v>9285.1517999999996</v>
      </c>
      <c r="H79" s="39">
        <f>+'FY21'!H79*(1+MYP!$G$9)</f>
        <v>9285.1517999999996</v>
      </c>
      <c r="I79" s="39">
        <f>+'FY21'!I79*(1+MYP!$G$9)</f>
        <v>9285.1517999999996</v>
      </c>
      <c r="J79" s="39">
        <f>+'FY21'!J79*(1+MYP!$G$9)</f>
        <v>9285.1517999999996</v>
      </c>
      <c r="K79" s="39">
        <f>+'FY21'!K79*(1+MYP!$G$9)</f>
        <v>11325.1518</v>
      </c>
      <c r="L79" s="39">
        <f>+'FY21'!L79*(1+MYP!$G$9)</f>
        <v>9285.1517999999996</v>
      </c>
      <c r="M79" s="39">
        <f>+'FY21'!M79*(1+MYP!$G$9)</f>
        <v>9285.1517999999996</v>
      </c>
      <c r="N79" s="39">
        <f>+'FY21'!N79*(1+MYP!$G$9)</f>
        <v>9285.1517999999996</v>
      </c>
      <c r="O79" s="39">
        <f>+'FY21'!O79*(1+MYP!$G$9)</f>
        <v>10580.409000000001</v>
      </c>
      <c r="P79" s="39">
        <f>+'FY21'!P79*(1+MYP!$G$9)</f>
        <v>10580.409000000001</v>
      </c>
      <c r="Q79" s="100"/>
      <c r="R79" s="41"/>
      <c r="S79" s="59">
        <f t="shared" si="23"/>
        <v>116052.33599999998</v>
      </c>
      <c r="T79" s="41"/>
      <c r="U79" s="39">
        <f>'FY21'!S79</f>
        <v>113776.79999999997</v>
      </c>
      <c r="V79" s="39">
        <f t="shared" si="24"/>
        <v>-2275.5360000000073</v>
      </c>
      <c r="W79" s="39"/>
    </row>
    <row r="80" spans="3:23" s="37" customFormat="1" ht="12" x14ac:dyDescent="0.2">
      <c r="C80" s="38"/>
      <c r="E80" s="50">
        <f>SUBTOTAL(9,E76:E79)</f>
        <v>64547.051800000001</v>
      </c>
      <c r="F80" s="50">
        <f t="shared" ref="F80:V80" si="25">SUBTOTAL(9,F76:F79)</f>
        <v>10364.6518</v>
      </c>
      <c r="G80" s="50">
        <f t="shared" si="25"/>
        <v>11690.6518</v>
      </c>
      <c r="H80" s="50">
        <f t="shared" si="25"/>
        <v>11241.8518</v>
      </c>
      <c r="I80" s="50">
        <f t="shared" si="25"/>
        <v>10364.6518</v>
      </c>
      <c r="J80" s="50">
        <f t="shared" si="25"/>
        <v>11078.6518</v>
      </c>
      <c r="K80" s="50">
        <f t="shared" si="25"/>
        <v>12404.6518</v>
      </c>
      <c r="L80" s="50">
        <f t="shared" si="25"/>
        <v>10364.6518</v>
      </c>
      <c r="M80" s="50">
        <f t="shared" si="25"/>
        <v>11078.6518</v>
      </c>
      <c r="N80" s="50">
        <f t="shared" si="25"/>
        <v>10364.6518</v>
      </c>
      <c r="O80" s="50">
        <f t="shared" si="25"/>
        <v>12603.409000000001</v>
      </c>
      <c r="P80" s="50">
        <f t="shared" si="25"/>
        <v>12373.909000000001</v>
      </c>
      <c r="Q80" s="99"/>
      <c r="R80" s="41"/>
      <c r="S80" s="61">
        <f t="shared" si="25"/>
        <v>188477.43599999999</v>
      </c>
      <c r="T80" s="41"/>
      <c r="U80" s="50">
        <f t="shared" si="25"/>
        <v>184781.8</v>
      </c>
      <c r="V80" s="50">
        <f t="shared" si="25"/>
        <v>-3695.6360000000041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200">
        <v>6519</v>
      </c>
      <c r="D82" s="37" t="s">
        <v>234</v>
      </c>
      <c r="E82" s="39">
        <f>+'FY21'!E82*(1+MYP!$G$9)</f>
        <v>34</v>
      </c>
      <c r="F82" s="39">
        <f>+'FY21'!F82*(1+MYP!$G$9)</f>
        <v>34</v>
      </c>
      <c r="G82" s="39">
        <f>+'FY21'!G82*(1+MYP!$G$9)</f>
        <v>34</v>
      </c>
      <c r="H82" s="39">
        <f>+'FY21'!H82*(1+MYP!$G$9)</f>
        <v>34</v>
      </c>
      <c r="I82" s="39">
        <f>+'FY21'!I82*(1+MYP!$G$9)</f>
        <v>34</v>
      </c>
      <c r="J82" s="39">
        <f>+'FY21'!J82*(1+MYP!$G$9)</f>
        <v>34</v>
      </c>
      <c r="K82" s="39">
        <f>+'FY21'!K82*(1+MYP!$G$9)</f>
        <v>34</v>
      </c>
      <c r="L82" s="39">
        <f>+'FY21'!L82*(1+MYP!$G$9)</f>
        <v>34</v>
      </c>
      <c r="M82" s="39">
        <f>+'FY21'!M82*(1+MYP!$G$9)</f>
        <v>34</v>
      </c>
      <c r="N82" s="39">
        <f>+'FY21'!N82*(1+MYP!$G$9)</f>
        <v>34</v>
      </c>
      <c r="O82" s="39">
        <f>+'FY21'!O82*(1+MYP!$G$9)</f>
        <v>34</v>
      </c>
      <c r="P82" s="39">
        <f>+'FY21'!P82*(1+MYP!$G$9)</f>
        <v>34</v>
      </c>
      <c r="Q82" s="100"/>
      <c r="R82" s="41"/>
      <c r="S82" s="59">
        <f t="shared" ref="S82:S93" si="26">SUM(E82:Q82)</f>
        <v>408</v>
      </c>
      <c r="T82" s="41"/>
      <c r="U82" s="39">
        <f>'FY21'!S82</f>
        <v>399.99999999999994</v>
      </c>
      <c r="V82" s="39">
        <f t="shared" ref="V82:V93" si="27">U82-S82</f>
        <v>-8.0000000000000568</v>
      </c>
      <c r="W82" s="39"/>
    </row>
    <row r="83" spans="3:23" s="37" customFormat="1" ht="12" x14ac:dyDescent="0.2">
      <c r="C83" s="200">
        <v>6521</v>
      </c>
      <c r="D83" s="37" t="s">
        <v>24</v>
      </c>
      <c r="E83" s="39">
        <f>+'FY21'!E83*(1+MYP!$G$9)</f>
        <v>0</v>
      </c>
      <c r="F83" s="39">
        <f>+'FY21'!F83*(1+MYP!$G$9)</f>
        <v>3876</v>
      </c>
      <c r="G83" s="39">
        <f>+'FY21'!G83*(1+MYP!$G$9)</f>
        <v>0</v>
      </c>
      <c r="H83" s="39">
        <f>+'FY21'!H83*(1+MYP!$G$9)</f>
        <v>0</v>
      </c>
      <c r="I83" s="39">
        <f>+'FY21'!I83*(1+MYP!$G$9)</f>
        <v>0</v>
      </c>
      <c r="J83" s="39">
        <f>+'FY21'!J83*(1+MYP!$G$9)</f>
        <v>0</v>
      </c>
      <c r="K83" s="39">
        <f>+'FY21'!K83*(1+MYP!$G$9)</f>
        <v>0</v>
      </c>
      <c r="L83" s="39">
        <f>+'FY21'!L83*(1+MYP!$G$9)</f>
        <v>0</v>
      </c>
      <c r="M83" s="39">
        <f>+'FY21'!M83*(1+MYP!$G$9)</f>
        <v>0</v>
      </c>
      <c r="N83" s="39">
        <f>+'FY21'!N83*(1+MYP!$G$9)</f>
        <v>0</v>
      </c>
      <c r="O83" s="39">
        <f>+'FY21'!O83*(1+MYP!$G$9)</f>
        <v>0</v>
      </c>
      <c r="P83" s="39">
        <f>+'FY21'!P83*(1+MYP!$G$9)</f>
        <v>0</v>
      </c>
      <c r="Q83" s="100"/>
      <c r="R83" s="41"/>
      <c r="S83" s="59">
        <f t="shared" si="26"/>
        <v>3876</v>
      </c>
      <c r="T83" s="41"/>
      <c r="U83" s="39">
        <f>'FY21'!S83</f>
        <v>3800</v>
      </c>
      <c r="V83" s="39">
        <f t="shared" si="27"/>
        <v>-76</v>
      </c>
      <c r="W83" s="39"/>
    </row>
    <row r="84" spans="3:23" s="37" customFormat="1" ht="12" x14ac:dyDescent="0.2">
      <c r="C84" s="200">
        <v>6522</v>
      </c>
      <c r="D84" s="37" t="s">
        <v>25</v>
      </c>
      <c r="E84" s="39">
        <f>+'FY21'!E84*(1+MYP!$G$9)</f>
        <v>0</v>
      </c>
      <c r="F84" s="39">
        <f>+'FY21'!F84*(1+MYP!$G$9)</f>
        <v>0</v>
      </c>
      <c r="G84" s="39">
        <f>+'FY21'!G84*(1+MYP!$G$9)</f>
        <v>0</v>
      </c>
      <c r="H84" s="39">
        <f>+'FY21'!H84*(1+MYP!$G$9)</f>
        <v>0</v>
      </c>
      <c r="I84" s="39">
        <f>+'FY21'!I84*(1+MYP!$G$9)</f>
        <v>0</v>
      </c>
      <c r="J84" s="39">
        <f>+'FY21'!J84*(1+MYP!$G$9)</f>
        <v>0</v>
      </c>
      <c r="K84" s="39">
        <f>+'FY21'!K84*(1+MYP!$G$9)</f>
        <v>0</v>
      </c>
      <c r="L84" s="39">
        <f>+'FY21'!L84*(1+MYP!$G$9)</f>
        <v>0</v>
      </c>
      <c r="M84" s="39">
        <f>+'FY21'!M84*(1+MYP!$G$9)</f>
        <v>0</v>
      </c>
      <c r="N84" s="39">
        <f>+'FY21'!N84*(1+MYP!$G$9)</f>
        <v>0</v>
      </c>
      <c r="O84" s="39">
        <f>+'FY21'!O84*(1+MYP!$G$9)</f>
        <v>0</v>
      </c>
      <c r="P84" s="39">
        <f>+'FY21'!P84*(1+MYP!$G$9)</f>
        <v>0</v>
      </c>
      <c r="Q84" s="100"/>
      <c r="R84" s="41"/>
      <c r="S84" s="59">
        <f t="shared" si="26"/>
        <v>0</v>
      </c>
      <c r="T84" s="41"/>
      <c r="U84" s="39">
        <f>'FY21'!S84</f>
        <v>0</v>
      </c>
      <c r="V84" s="39">
        <f t="shared" si="27"/>
        <v>0</v>
      </c>
      <c r="W84" s="39"/>
    </row>
    <row r="85" spans="3:23" s="37" customFormat="1" ht="12" x14ac:dyDescent="0.2">
      <c r="C85" s="200">
        <v>6523</v>
      </c>
      <c r="D85" s="37" t="s">
        <v>26</v>
      </c>
      <c r="E85" s="39">
        <f>+'FY21'!E85*(1+MYP!$G$9)</f>
        <v>0</v>
      </c>
      <c r="F85" s="39">
        <f>+'FY21'!F85*(1+MYP!$G$9)</f>
        <v>0</v>
      </c>
      <c r="G85" s="39">
        <f>+'FY21'!G85*(1+MYP!$G$9)</f>
        <v>0</v>
      </c>
      <c r="H85" s="39">
        <f>+'FY21'!H85*(1+MYP!$G$9)</f>
        <v>0</v>
      </c>
      <c r="I85" s="39">
        <f>+'FY21'!I85*(1+MYP!$G$9)</f>
        <v>0</v>
      </c>
      <c r="J85" s="39">
        <f>+'FY21'!J85*(1+MYP!$G$9)</f>
        <v>0</v>
      </c>
      <c r="K85" s="39">
        <f>+'FY21'!K85*(1+MYP!$G$9)</f>
        <v>0</v>
      </c>
      <c r="L85" s="39">
        <f>+'FY21'!L85*(1+MYP!$G$9)</f>
        <v>0</v>
      </c>
      <c r="M85" s="39">
        <f>+'FY21'!M85*(1+MYP!$G$9)</f>
        <v>0</v>
      </c>
      <c r="N85" s="39">
        <f>+'FY21'!N85*(1+MYP!$G$9)</f>
        <v>0</v>
      </c>
      <c r="O85" s="39">
        <f>+'FY21'!O85*(1+MYP!$G$9)</f>
        <v>0</v>
      </c>
      <c r="P85" s="39">
        <f>+'FY21'!P85*(1+MYP!$G$9)</f>
        <v>0</v>
      </c>
      <c r="Q85" s="100"/>
      <c r="R85" s="41"/>
      <c r="S85" s="59">
        <f t="shared" si="26"/>
        <v>0</v>
      </c>
      <c r="T85" s="41"/>
      <c r="U85" s="39">
        <f>'FY21'!S85</f>
        <v>0</v>
      </c>
      <c r="V85" s="39">
        <f t="shared" si="27"/>
        <v>0</v>
      </c>
      <c r="W85" s="39"/>
    </row>
    <row r="86" spans="3:23" s="37" customFormat="1" ht="12" x14ac:dyDescent="0.2">
      <c r="C86" s="200">
        <v>6531</v>
      </c>
      <c r="D86" s="37" t="s">
        <v>27</v>
      </c>
      <c r="E86" s="39">
        <f>+'FY21'!E86*(1+MYP!$G$9)</f>
        <v>153</v>
      </c>
      <c r="F86" s="39">
        <f>+'FY21'!F86*(1+MYP!$G$9)</f>
        <v>153</v>
      </c>
      <c r="G86" s="39">
        <f>+'FY21'!G86*(1+MYP!$G$9)</f>
        <v>153</v>
      </c>
      <c r="H86" s="39">
        <f>+'FY21'!H86*(1+MYP!$G$9)</f>
        <v>153</v>
      </c>
      <c r="I86" s="39">
        <f>+'FY21'!I86*(1+MYP!$G$9)</f>
        <v>153</v>
      </c>
      <c r="J86" s="39">
        <f>+'FY21'!J86*(1+MYP!$G$9)</f>
        <v>153</v>
      </c>
      <c r="K86" s="39">
        <f>+'FY21'!K86*(1+MYP!$G$9)</f>
        <v>153</v>
      </c>
      <c r="L86" s="39">
        <f>+'FY21'!L86*(1+MYP!$G$9)</f>
        <v>153</v>
      </c>
      <c r="M86" s="39">
        <f>+'FY21'!M86*(1+MYP!$G$9)</f>
        <v>153</v>
      </c>
      <c r="N86" s="39">
        <f>+'FY21'!N86*(1+MYP!$G$9)</f>
        <v>153</v>
      </c>
      <c r="O86" s="39">
        <f>+'FY21'!O86*(1+MYP!$G$9)</f>
        <v>153</v>
      </c>
      <c r="P86" s="39">
        <f>+'FY21'!P86*(1+MYP!$G$9)</f>
        <v>153</v>
      </c>
      <c r="Q86" s="100"/>
      <c r="R86" s="41"/>
      <c r="S86" s="59">
        <f t="shared" si="26"/>
        <v>1836</v>
      </c>
      <c r="T86" s="41"/>
      <c r="U86" s="39">
        <f>'FY21'!S86</f>
        <v>1800</v>
      </c>
      <c r="V86" s="39">
        <f t="shared" si="27"/>
        <v>-36</v>
      </c>
      <c r="W86" s="39"/>
    </row>
    <row r="87" spans="3:23" s="37" customFormat="1" ht="12" x14ac:dyDescent="0.2">
      <c r="C87" s="200">
        <v>6534</v>
      </c>
      <c r="D87" s="37" t="s">
        <v>28</v>
      </c>
      <c r="E87" s="39">
        <f>+'FY21'!E87*(1+MYP!$G$9)</f>
        <v>0</v>
      </c>
      <c r="F87" s="39">
        <f>+'FY21'!F87*(1+MYP!$G$9)</f>
        <v>0</v>
      </c>
      <c r="G87" s="39">
        <f>+'FY21'!G87*(1+MYP!$G$9)</f>
        <v>0</v>
      </c>
      <c r="H87" s="39">
        <f>+'FY21'!H87*(1+MYP!$G$9)</f>
        <v>0</v>
      </c>
      <c r="I87" s="39">
        <f>+'FY21'!I87*(1+MYP!$G$9)</f>
        <v>0</v>
      </c>
      <c r="J87" s="39">
        <f>+'FY21'!J87*(1+MYP!$G$9)</f>
        <v>0</v>
      </c>
      <c r="K87" s="39">
        <f>+'FY21'!K87*(1+MYP!$G$9)</f>
        <v>0</v>
      </c>
      <c r="L87" s="39">
        <f>+'FY21'!L87*(1+MYP!$G$9)</f>
        <v>0</v>
      </c>
      <c r="M87" s="39">
        <f>+'FY21'!M87*(1+MYP!$G$9)</f>
        <v>0</v>
      </c>
      <c r="N87" s="39">
        <f>+'FY21'!N87*(1+MYP!$G$9)</f>
        <v>0</v>
      </c>
      <c r="O87" s="39">
        <f>+'FY21'!O87*(1+MYP!$G$9)</f>
        <v>0</v>
      </c>
      <c r="P87" s="39">
        <f>+'FY21'!P87*(1+MYP!$G$9)</f>
        <v>0</v>
      </c>
      <c r="Q87" s="100"/>
      <c r="R87" s="41"/>
      <c r="S87" s="59">
        <f t="shared" si="26"/>
        <v>0</v>
      </c>
      <c r="T87" s="41"/>
      <c r="U87" s="39">
        <f>'FY21'!S87</f>
        <v>0</v>
      </c>
      <c r="V87" s="39">
        <f t="shared" si="27"/>
        <v>0</v>
      </c>
      <c r="W87" s="39"/>
    </row>
    <row r="88" spans="3:23" s="37" customFormat="1" ht="12" x14ac:dyDescent="0.2">
      <c r="C88" s="200">
        <v>6535</v>
      </c>
      <c r="D88" s="37" t="s">
        <v>235</v>
      </c>
      <c r="E88" s="39">
        <f>+'FY21'!E88*(1+MYP!$G$9)</f>
        <v>147.9</v>
      </c>
      <c r="F88" s="39">
        <f>+'FY21'!F88*(1+MYP!$G$9)</f>
        <v>147.9</v>
      </c>
      <c r="G88" s="39">
        <f>+'FY21'!G88*(1+MYP!$G$9)</f>
        <v>147.9</v>
      </c>
      <c r="H88" s="39">
        <f>+'FY21'!H88*(1+MYP!$G$9)</f>
        <v>147.9</v>
      </c>
      <c r="I88" s="39">
        <f>+'FY21'!I88*(1+MYP!$G$9)</f>
        <v>147.9</v>
      </c>
      <c r="J88" s="39">
        <f>+'FY21'!J88*(1+MYP!$G$9)</f>
        <v>147.9</v>
      </c>
      <c r="K88" s="39">
        <f>+'FY21'!K88*(1+MYP!$G$9)</f>
        <v>147.9</v>
      </c>
      <c r="L88" s="39">
        <f>+'FY21'!L88*(1+MYP!$G$9)</f>
        <v>147.9</v>
      </c>
      <c r="M88" s="39">
        <f>+'FY21'!M88*(1+MYP!$G$9)</f>
        <v>147.9</v>
      </c>
      <c r="N88" s="39">
        <f>+'FY21'!N88*(1+MYP!$G$9)</f>
        <v>147.9</v>
      </c>
      <c r="O88" s="39">
        <f>+'FY21'!O88*(1+MYP!$G$9)</f>
        <v>147.9</v>
      </c>
      <c r="P88" s="39">
        <f>+'FY21'!P88*(1+MYP!$G$9)</f>
        <v>147.9</v>
      </c>
      <c r="Q88" s="100"/>
      <c r="R88" s="41"/>
      <c r="S88" s="59">
        <f t="shared" si="26"/>
        <v>1774.8000000000004</v>
      </c>
      <c r="T88" s="41"/>
      <c r="U88" s="39">
        <f>'FY21'!S88</f>
        <v>1740</v>
      </c>
      <c r="V88" s="39">
        <f t="shared" si="27"/>
        <v>-34.800000000000409</v>
      </c>
      <c r="W88" s="39"/>
    </row>
    <row r="89" spans="3:23" s="37" customFormat="1" ht="12" x14ac:dyDescent="0.2">
      <c r="C89" s="200">
        <v>6540</v>
      </c>
      <c r="D89" s="37" t="s">
        <v>30</v>
      </c>
      <c r="E89" s="39">
        <f>+'FY21'!E89*(1+MYP!$G$9)</f>
        <v>170</v>
      </c>
      <c r="F89" s="39">
        <f>+'FY21'!F89*(1+MYP!$G$9)</f>
        <v>170</v>
      </c>
      <c r="G89" s="39">
        <f>+'FY21'!G89*(1+MYP!$G$9)</f>
        <v>170</v>
      </c>
      <c r="H89" s="39">
        <f>+'FY21'!H89*(1+MYP!$G$9)</f>
        <v>170</v>
      </c>
      <c r="I89" s="39">
        <f>+'FY21'!I89*(1+MYP!$G$9)</f>
        <v>170</v>
      </c>
      <c r="J89" s="39">
        <f>+'FY21'!J89*(1+MYP!$G$9)</f>
        <v>170</v>
      </c>
      <c r="K89" s="39">
        <f>+'FY21'!K89*(1+MYP!$G$9)</f>
        <v>170</v>
      </c>
      <c r="L89" s="39">
        <f>+'FY21'!L89*(1+MYP!$G$9)</f>
        <v>170</v>
      </c>
      <c r="M89" s="39">
        <f>+'FY21'!M89*(1+MYP!$G$9)</f>
        <v>170</v>
      </c>
      <c r="N89" s="39">
        <f>+'FY21'!N89*(1+MYP!$G$9)</f>
        <v>170</v>
      </c>
      <c r="O89" s="39">
        <f>+'FY21'!O89*(1+MYP!$G$9)</f>
        <v>170</v>
      </c>
      <c r="P89" s="39">
        <f>+'FY21'!P89*(1+MYP!$G$9)</f>
        <v>170</v>
      </c>
      <c r="Q89" s="100"/>
      <c r="R89" s="41"/>
      <c r="S89" s="59">
        <f t="shared" si="26"/>
        <v>2040</v>
      </c>
      <c r="T89" s="41"/>
      <c r="U89" s="39">
        <f>'FY21'!S89</f>
        <v>2000.0000000000002</v>
      </c>
      <c r="V89" s="39">
        <f t="shared" si="27"/>
        <v>-39.999999999999773</v>
      </c>
      <c r="W89" s="39"/>
    </row>
    <row r="90" spans="3:23" s="37" customFormat="1" ht="12" x14ac:dyDescent="0.2">
      <c r="C90" s="200">
        <v>6550</v>
      </c>
      <c r="D90" s="37" t="s">
        <v>31</v>
      </c>
      <c r="E90" s="39">
        <f>+'FY21'!E90*(1+MYP!$G$9)</f>
        <v>0</v>
      </c>
      <c r="F90" s="39">
        <f>+'FY21'!F90*(1+MYP!$G$9)</f>
        <v>0</v>
      </c>
      <c r="G90" s="39">
        <f>+'FY21'!G90*(1+MYP!$G$9)</f>
        <v>0</v>
      </c>
      <c r="H90" s="39">
        <f>+'FY21'!H90*(1+MYP!$G$9)</f>
        <v>0</v>
      </c>
      <c r="I90" s="39">
        <f>+'FY21'!I90*(1+MYP!$G$9)</f>
        <v>0</v>
      </c>
      <c r="J90" s="39">
        <f>+'FY21'!J90*(1+MYP!$G$9)</f>
        <v>0</v>
      </c>
      <c r="K90" s="39">
        <f>+'FY21'!K90*(1+MYP!$G$9)</f>
        <v>0</v>
      </c>
      <c r="L90" s="39">
        <f>+'FY21'!L90*(1+MYP!$G$9)</f>
        <v>0</v>
      </c>
      <c r="M90" s="39">
        <f>+'FY21'!M90*(1+MYP!$G$9)</f>
        <v>0</v>
      </c>
      <c r="N90" s="39">
        <f>+'FY21'!N90*(1+MYP!$G$9)</f>
        <v>0</v>
      </c>
      <c r="O90" s="39">
        <f>+'FY21'!O90*(1+MYP!$G$9)</f>
        <v>0</v>
      </c>
      <c r="P90" s="39">
        <f>+'FY21'!P90*(1+MYP!$G$9)</f>
        <v>0</v>
      </c>
      <c r="Q90" s="100"/>
      <c r="R90" s="41"/>
      <c r="S90" s="59">
        <f t="shared" si="26"/>
        <v>0</v>
      </c>
      <c r="T90" s="41"/>
      <c r="U90" s="39">
        <f>'FY21'!S90</f>
        <v>0</v>
      </c>
      <c r="V90" s="39">
        <f t="shared" si="27"/>
        <v>0</v>
      </c>
      <c r="W90" s="39"/>
    </row>
    <row r="91" spans="3:23" s="37" customFormat="1" ht="12" x14ac:dyDescent="0.2">
      <c r="C91" s="207">
        <v>6568</v>
      </c>
      <c r="D91" s="37" t="s">
        <v>186</v>
      </c>
      <c r="E91" s="39">
        <f>+'FY21'!E91*(1+MYP!$G$8)</f>
        <v>0</v>
      </c>
      <c r="F91" s="39">
        <f>+'FY21'!F91*(1+MYP!$G$8)</f>
        <v>0</v>
      </c>
      <c r="G91" s="39">
        <f>+'FY21'!G91*(1+MYP!$G$8)</f>
        <v>0</v>
      </c>
      <c r="H91" s="39">
        <f>+'FY21'!H91*(1+MYP!$G$8)</f>
        <v>0</v>
      </c>
      <c r="I91" s="39">
        <f>+'FY21'!I91*(1+MYP!$G$8)</f>
        <v>0</v>
      </c>
      <c r="J91" s="39">
        <f>+'FY21'!J91*(1+MYP!$G$8)</f>
        <v>0</v>
      </c>
      <c r="K91" s="39">
        <f>+'FY21'!K91*(1+MYP!$G$8)</f>
        <v>0</v>
      </c>
      <c r="L91" s="39">
        <f>+'FY21'!L91*(1+MYP!$G$8)</f>
        <v>0</v>
      </c>
      <c r="M91" s="39">
        <f>+'FY21'!M91*(1+MYP!$G$8)</f>
        <v>0</v>
      </c>
      <c r="N91" s="39">
        <f>+'FY21'!N91*(1+MYP!$G$8)</f>
        <v>0</v>
      </c>
      <c r="O91" s="39">
        <f>+'FY21'!O91*(1+MYP!$G$8)</f>
        <v>0</v>
      </c>
      <c r="P91" s="39">
        <f>+'FY21'!P91*(1+MYP!$G$8)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'FY21'!S91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200">
        <v>6569</v>
      </c>
      <c r="D92" s="37" t="s">
        <v>32</v>
      </c>
      <c r="E92" s="39">
        <f>+'FY21'!E92*(1+MYP!$G$8)</f>
        <v>0</v>
      </c>
      <c r="F92" s="39">
        <f>+'FY21'!F92*(1+MYP!$G$8)</f>
        <v>0</v>
      </c>
      <c r="G92" s="39">
        <f>+'FY21'!G92*(1+MYP!$G$8)</f>
        <v>0</v>
      </c>
      <c r="H92" s="39">
        <f>+'FY21'!H92*(1+MYP!$G$8)</f>
        <v>137812.5</v>
      </c>
      <c r="I92" s="39">
        <f>+'FY21'!I92*(1+MYP!$G$8)</f>
        <v>124162.5</v>
      </c>
      <c r="J92" s="39">
        <f>+'FY21'!J92*(1+MYP!$G$8)</f>
        <v>-10500</v>
      </c>
      <c r="K92" s="39">
        <f>+'FY21'!K92*(1+MYP!$G$8)</f>
        <v>0</v>
      </c>
      <c r="L92" s="39">
        <f>+'FY21'!L92*(1+MYP!$G$8)</f>
        <v>0</v>
      </c>
      <c r="M92" s="39">
        <f>+'FY21'!M92*(1+MYP!$G$8)</f>
        <v>159075</v>
      </c>
      <c r="N92" s="39">
        <f>+'FY21'!N92*(1+MYP!$G$8)</f>
        <v>145425</v>
      </c>
      <c r="O92" s="39">
        <f>+'FY21'!O92*(1+MYP!$G$8)</f>
        <v>-10500</v>
      </c>
      <c r="P92" s="39">
        <f>+'FY21'!P92*(1+MYP!$G$8)</f>
        <v>0</v>
      </c>
      <c r="Q92" s="100"/>
      <c r="R92" s="41"/>
      <c r="S92" s="59">
        <f t="shared" si="26"/>
        <v>545475</v>
      </c>
      <c r="T92" s="41"/>
      <c r="U92" s="39">
        <f>'FY21'!S92</f>
        <v>519500</v>
      </c>
      <c r="V92" s="39">
        <f t="shared" si="27"/>
        <v>-25975</v>
      </c>
      <c r="W92" s="39"/>
    </row>
    <row r="93" spans="3:23" s="37" customFormat="1" ht="12" x14ac:dyDescent="0.2">
      <c r="C93" s="200">
        <v>6580</v>
      </c>
      <c r="D93" s="37" t="s">
        <v>33</v>
      </c>
      <c r="E93" s="39">
        <f>+'FY21'!E93*(1+MYP!$G$9)</f>
        <v>0</v>
      </c>
      <c r="F93" s="39">
        <f>+'FY21'!F93*(1+MYP!$G$9)</f>
        <v>0</v>
      </c>
      <c r="G93" s="39">
        <f>+'FY21'!G93*(1+MYP!$G$9)</f>
        <v>0</v>
      </c>
      <c r="H93" s="39">
        <f>+'FY21'!H93*(1+MYP!$G$9)</f>
        <v>0</v>
      </c>
      <c r="I93" s="39">
        <f>+'FY21'!I93*(1+MYP!$G$9)</f>
        <v>0</v>
      </c>
      <c r="J93" s="39">
        <f>+'FY21'!J93*(1+MYP!$G$9)</f>
        <v>0</v>
      </c>
      <c r="K93" s="39">
        <f>+'FY21'!K93*(1+MYP!$G$9)</f>
        <v>0</v>
      </c>
      <c r="L93" s="39">
        <f>+'FY21'!L93*(1+MYP!$G$9)</f>
        <v>0</v>
      </c>
      <c r="M93" s="39">
        <f>+'FY21'!M93*(1+MYP!$G$9)</f>
        <v>0</v>
      </c>
      <c r="N93" s="39">
        <f>+'FY21'!N93*(1+MYP!$G$9)</f>
        <v>0</v>
      </c>
      <c r="O93" s="39">
        <f>+'FY21'!O93*(1+MYP!$G$9)</f>
        <v>0</v>
      </c>
      <c r="P93" s="39">
        <f>+'FY21'!P93*(1+MYP!$G$9)</f>
        <v>0</v>
      </c>
      <c r="Q93" s="100"/>
      <c r="R93" s="41"/>
      <c r="S93" s="59">
        <f t="shared" si="26"/>
        <v>0</v>
      </c>
      <c r="T93" s="41"/>
      <c r="U93" s="39">
        <f>'FY21'!S93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504.9</v>
      </c>
      <c r="F94" s="50">
        <f t="shared" ref="F94:V94" si="30">SUBTOTAL(9,F82:F93)</f>
        <v>4380.8999999999996</v>
      </c>
      <c r="G94" s="50">
        <f t="shared" si="30"/>
        <v>504.9</v>
      </c>
      <c r="H94" s="50">
        <f t="shared" si="30"/>
        <v>138317.4</v>
      </c>
      <c r="I94" s="50">
        <f t="shared" si="30"/>
        <v>124667.4</v>
      </c>
      <c r="J94" s="50">
        <f t="shared" si="30"/>
        <v>-9995.1</v>
      </c>
      <c r="K94" s="50">
        <f t="shared" si="30"/>
        <v>504.9</v>
      </c>
      <c r="L94" s="50">
        <f t="shared" si="30"/>
        <v>504.9</v>
      </c>
      <c r="M94" s="50">
        <f t="shared" si="30"/>
        <v>159579.9</v>
      </c>
      <c r="N94" s="50">
        <f t="shared" si="30"/>
        <v>145929.9</v>
      </c>
      <c r="O94" s="50">
        <f t="shared" si="30"/>
        <v>-9995.1</v>
      </c>
      <c r="P94" s="50">
        <f t="shared" si="30"/>
        <v>504.9</v>
      </c>
      <c r="Q94" s="99"/>
      <c r="R94" s="41"/>
      <c r="S94" s="61">
        <f t="shared" si="30"/>
        <v>555409.80000000005</v>
      </c>
      <c r="T94" s="41"/>
      <c r="U94" s="50">
        <f t="shared" si="30"/>
        <v>529240</v>
      </c>
      <c r="V94" s="50">
        <f t="shared" si="30"/>
        <v>-26169.8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200">
        <v>6610</v>
      </c>
      <c r="D96" s="37" t="s">
        <v>34</v>
      </c>
      <c r="E96" s="39">
        <f>+'FY21'!E96*(1+MYP!$G$9)</f>
        <v>510</v>
      </c>
      <c r="F96" s="39">
        <f>+'FY21'!F96*(1+MYP!$G$9)</f>
        <v>510</v>
      </c>
      <c r="G96" s="39">
        <f>+'FY21'!G96*(1+MYP!$G$9)</f>
        <v>510</v>
      </c>
      <c r="H96" s="39">
        <f>+'FY21'!H96*(1+MYP!$G$9)</f>
        <v>901.68000000000006</v>
      </c>
      <c r="I96" s="39">
        <f>+'FY21'!I96*(1+MYP!$G$9)</f>
        <v>510</v>
      </c>
      <c r="J96" s="39">
        <f>+'FY21'!J96*(1+MYP!$G$9)</f>
        <v>510</v>
      </c>
      <c r="K96" s="39">
        <f>+'FY21'!K96*(1+MYP!$G$9)</f>
        <v>510</v>
      </c>
      <c r="L96" s="39">
        <f>+'FY21'!L96*(1+MYP!$G$9)</f>
        <v>510</v>
      </c>
      <c r="M96" s="39">
        <f>+'FY21'!M96*(1+MYP!$G$9)</f>
        <v>510</v>
      </c>
      <c r="N96" s="39">
        <f>+'FY21'!N96*(1+MYP!$G$9)</f>
        <v>510</v>
      </c>
      <c r="O96" s="39">
        <f>+'FY21'!O96*(1+MYP!$G$9)</f>
        <v>510</v>
      </c>
      <c r="P96" s="39">
        <f>+'FY21'!P96*(1+MYP!$G$9)</f>
        <v>510</v>
      </c>
      <c r="Q96" s="100"/>
      <c r="R96" s="41"/>
      <c r="S96" s="59">
        <f t="shared" ref="S96:S102" si="31">SUM(E96:Q96)</f>
        <v>6511.68</v>
      </c>
      <c r="T96" s="41"/>
      <c r="U96" s="39">
        <f>'FY21'!S96</f>
        <v>6384</v>
      </c>
      <c r="V96" s="39">
        <f t="shared" ref="V96:V102" si="32">U96-S96</f>
        <v>-127.68000000000029</v>
      </c>
      <c r="W96" s="39"/>
    </row>
    <row r="97" spans="3:23" s="37" customFormat="1" ht="12" x14ac:dyDescent="0.2">
      <c r="C97" s="200">
        <v>6612</v>
      </c>
      <c r="D97" s="37" t="s">
        <v>35</v>
      </c>
      <c r="E97" s="39">
        <f>+'FY21'!E97*(1+MYP!$G$9)</f>
        <v>0</v>
      </c>
      <c r="F97" s="39">
        <f>+'FY21'!F97*(1+MYP!$G$9)</f>
        <v>0</v>
      </c>
      <c r="G97" s="39">
        <f>+'FY21'!G97*(1+MYP!$G$9)</f>
        <v>0</v>
      </c>
      <c r="H97" s="39">
        <f>+'FY21'!H97*(1+MYP!$G$9)</f>
        <v>0</v>
      </c>
      <c r="I97" s="39">
        <f>+'FY21'!I97*(1+MYP!$G$9)</f>
        <v>0</v>
      </c>
      <c r="J97" s="39">
        <f>+'FY21'!J97*(1+MYP!$G$9)</f>
        <v>0</v>
      </c>
      <c r="K97" s="39">
        <f>+'FY21'!K97*(1+MYP!$G$9)</f>
        <v>0</v>
      </c>
      <c r="L97" s="39">
        <f>+'FY21'!L97*(1+MYP!$G$9)</f>
        <v>0</v>
      </c>
      <c r="M97" s="39">
        <f>+'FY21'!M97*(1+MYP!$G$9)</f>
        <v>0</v>
      </c>
      <c r="N97" s="39">
        <f>+'FY21'!N97*(1+MYP!$G$9)</f>
        <v>0</v>
      </c>
      <c r="O97" s="39">
        <f>+'FY21'!O97*(1+MYP!$G$9)</f>
        <v>0</v>
      </c>
      <c r="P97" s="39">
        <f>+'FY21'!P97*(1+MYP!$G$9)</f>
        <v>0</v>
      </c>
      <c r="Q97" s="100"/>
      <c r="R97" s="41"/>
      <c r="S97" s="59">
        <f t="shared" si="31"/>
        <v>0</v>
      </c>
      <c r="T97" s="41"/>
      <c r="U97" s="39">
        <f>'FY21'!S97</f>
        <v>0</v>
      </c>
      <c r="V97" s="39">
        <f t="shared" si="32"/>
        <v>0</v>
      </c>
      <c r="W97" s="39"/>
    </row>
    <row r="98" spans="3:23" s="37" customFormat="1" ht="12" x14ac:dyDescent="0.2">
      <c r="C98" s="200">
        <v>6622</v>
      </c>
      <c r="D98" s="37" t="s">
        <v>36</v>
      </c>
      <c r="E98" s="39">
        <f>+'FY21'!E98*(1+MYP!$G$9)</f>
        <v>816</v>
      </c>
      <c r="F98" s="39">
        <f>+'FY21'!F98*(1+MYP!$G$9)</f>
        <v>816</v>
      </c>
      <c r="G98" s="39">
        <f>+'FY21'!G98*(1+MYP!$G$9)</f>
        <v>816</v>
      </c>
      <c r="H98" s="39">
        <f>+'FY21'!H98*(1+MYP!$G$9)</f>
        <v>816</v>
      </c>
      <c r="I98" s="39">
        <f>+'FY21'!I98*(1+MYP!$G$9)</f>
        <v>816</v>
      </c>
      <c r="J98" s="39">
        <f>+'FY21'!J98*(1+MYP!$G$9)</f>
        <v>816</v>
      </c>
      <c r="K98" s="39">
        <f>+'FY21'!K98*(1+MYP!$G$9)</f>
        <v>816</v>
      </c>
      <c r="L98" s="39">
        <f>+'FY21'!L98*(1+MYP!$G$9)</f>
        <v>816</v>
      </c>
      <c r="M98" s="39">
        <f>+'FY21'!M98*(1+MYP!$G$9)</f>
        <v>816</v>
      </c>
      <c r="N98" s="39">
        <f>+'FY21'!N98*(1+MYP!$G$9)</f>
        <v>816</v>
      </c>
      <c r="O98" s="39">
        <f>+'FY21'!O98*(1+MYP!$G$9)</f>
        <v>816</v>
      </c>
      <c r="P98" s="39">
        <f>+'FY21'!P98*(1+MYP!$G$9)</f>
        <v>816</v>
      </c>
      <c r="Q98" s="100"/>
      <c r="R98" s="41"/>
      <c r="S98" s="59">
        <f t="shared" si="31"/>
        <v>9792</v>
      </c>
      <c r="T98" s="41"/>
      <c r="U98" s="39">
        <f>'FY21'!S98</f>
        <v>9600</v>
      </c>
      <c r="V98" s="39">
        <f t="shared" si="32"/>
        <v>-192</v>
      </c>
      <c r="W98" s="39"/>
    </row>
    <row r="99" spans="3:23" s="37" customFormat="1" ht="12" x14ac:dyDescent="0.2">
      <c r="C99" s="200">
        <v>6641</v>
      </c>
      <c r="D99" s="37" t="s">
        <v>37</v>
      </c>
      <c r="E99" s="39">
        <f>+'FY21'!E99*(1+MYP!$G$8)</f>
        <v>0</v>
      </c>
      <c r="F99" s="39">
        <f>+'FY21'!F99*(1+MYP!$G$8)</f>
        <v>0</v>
      </c>
      <c r="G99" s="39">
        <f>+'FY21'!G99*(1+MYP!$G$8)</f>
        <v>0</v>
      </c>
      <c r="H99" s="39">
        <f>+'FY21'!H99*(1+MYP!$G$8)</f>
        <v>24937.5</v>
      </c>
      <c r="I99" s="39">
        <f>+'FY21'!I99*(1+MYP!$G$8)</f>
        <v>7087.5</v>
      </c>
      <c r="J99" s="39">
        <f>+'FY21'!J99*(1+MYP!$G$8)</f>
        <v>0</v>
      </c>
      <c r="K99" s="39">
        <f>+'FY21'!K99*(1+MYP!$G$8)</f>
        <v>0</v>
      </c>
      <c r="L99" s="39">
        <f>+'FY21'!L99*(1+MYP!$G$8)</f>
        <v>0</v>
      </c>
      <c r="M99" s="39">
        <f>+'FY21'!M99*(1+MYP!$G$8)</f>
        <v>0</v>
      </c>
      <c r="N99" s="39">
        <f>+'FY21'!N99*(1+MYP!$G$8)</f>
        <v>9213.75</v>
      </c>
      <c r="O99" s="39">
        <f>+'FY21'!O99*(1+MYP!$G$8)</f>
        <v>9213.75</v>
      </c>
      <c r="P99" s="39">
        <f>+'FY21'!P99*(1+MYP!$G$8)</f>
        <v>0</v>
      </c>
      <c r="Q99" s="100"/>
      <c r="R99" s="41"/>
      <c r="S99" s="59">
        <f t="shared" si="31"/>
        <v>50452.5</v>
      </c>
      <c r="T99" s="41"/>
      <c r="U99" s="39">
        <f>'FY21'!S99</f>
        <v>48050</v>
      </c>
      <c r="V99" s="39">
        <f t="shared" si="32"/>
        <v>-2402.5</v>
      </c>
      <c r="W99" s="39"/>
    </row>
    <row r="100" spans="3:23" s="37" customFormat="1" ht="12" x14ac:dyDescent="0.2">
      <c r="C100" s="200">
        <v>6642</v>
      </c>
      <c r="D100" s="37" t="s">
        <v>38</v>
      </c>
      <c r="E100" s="39">
        <f>+'FY21'!E100*(1+MYP!$G$8)</f>
        <v>0</v>
      </c>
      <c r="F100" s="39">
        <f>+'FY21'!F100*(1+MYP!$G$8)</f>
        <v>0</v>
      </c>
      <c r="G100" s="39">
        <f>+'FY21'!G100*(1+MYP!$G$8)</f>
        <v>0</v>
      </c>
      <c r="H100" s="39">
        <f>+'FY21'!H100*(1+MYP!$G$8)</f>
        <v>14175</v>
      </c>
      <c r="I100" s="39">
        <f>+'FY21'!I100*(1+MYP!$G$8)</f>
        <v>14175</v>
      </c>
      <c r="J100" s="39">
        <f>+'FY21'!J100*(1+MYP!$G$8)</f>
        <v>0</v>
      </c>
      <c r="K100" s="39">
        <f>+'FY21'!K100*(1+MYP!$G$8)</f>
        <v>0</v>
      </c>
      <c r="L100" s="39">
        <f>+'FY21'!L100*(1+MYP!$G$8)</f>
        <v>0</v>
      </c>
      <c r="M100" s="39">
        <f>+'FY21'!M100*(1+MYP!$G$8)</f>
        <v>0</v>
      </c>
      <c r="N100" s="39">
        <f>+'FY21'!N100*(1+MYP!$G$8)</f>
        <v>19136.25</v>
      </c>
      <c r="O100" s="39">
        <f>+'FY21'!O100*(1+MYP!$G$8)</f>
        <v>19136.25</v>
      </c>
      <c r="P100" s="39">
        <f>+'FY21'!P100*(1+MYP!$G$8)</f>
        <v>0</v>
      </c>
      <c r="Q100" s="100"/>
      <c r="R100" s="41"/>
      <c r="S100" s="59">
        <f t="shared" si="31"/>
        <v>66622.5</v>
      </c>
      <c r="T100" s="41"/>
      <c r="U100" s="39">
        <f>'FY21'!S100</f>
        <v>63450</v>
      </c>
      <c r="V100" s="39">
        <f t="shared" si="32"/>
        <v>-3172.5</v>
      </c>
      <c r="W100" s="39"/>
    </row>
    <row r="101" spans="3:23" s="37" customFormat="1" ht="12" x14ac:dyDescent="0.2">
      <c r="C101" s="200">
        <v>6651</v>
      </c>
      <c r="D101" s="37" t="s">
        <v>39</v>
      </c>
      <c r="E101" s="39">
        <f>+'FY21'!E101*(1+MYP!$G$9)</f>
        <v>0</v>
      </c>
      <c r="F101" s="39">
        <f>+'FY21'!F101*(1+MYP!$G$9)</f>
        <v>0</v>
      </c>
      <c r="G101" s="39">
        <f>+'FY21'!G101*(1+MYP!$G$9)</f>
        <v>0</v>
      </c>
      <c r="H101" s="39">
        <f>+'FY21'!H101*(1+MYP!$G$9)</f>
        <v>0</v>
      </c>
      <c r="I101" s="39">
        <f>+'FY21'!I101*(1+MYP!$G$9)</f>
        <v>0</v>
      </c>
      <c r="J101" s="39">
        <f>+'FY21'!J101*(1+MYP!$G$9)</f>
        <v>0</v>
      </c>
      <c r="K101" s="39">
        <f>+'FY21'!K101*(1+MYP!$G$9)</f>
        <v>0</v>
      </c>
      <c r="L101" s="39">
        <f>+'FY21'!L101*(1+MYP!$G$9)</f>
        <v>0</v>
      </c>
      <c r="M101" s="39">
        <f>+'FY21'!M101*(1+MYP!$G$9)</f>
        <v>0</v>
      </c>
      <c r="N101" s="39">
        <f>+'FY21'!N101*(1+MYP!$G$9)</f>
        <v>0</v>
      </c>
      <c r="O101" s="39">
        <f>+'FY21'!O101*(1+MYP!$G$9)</f>
        <v>0</v>
      </c>
      <c r="P101" s="39">
        <f>+'FY21'!P101*(1+MYP!$G$9)</f>
        <v>0</v>
      </c>
      <c r="Q101" s="100"/>
      <c r="R101" s="41"/>
      <c r="S101" s="59">
        <f t="shared" si="31"/>
        <v>0</v>
      </c>
      <c r="T101" s="41"/>
      <c r="U101" s="39">
        <f>'FY21'!S101</f>
        <v>0</v>
      </c>
      <c r="V101" s="39">
        <f t="shared" si="32"/>
        <v>0</v>
      </c>
      <c r="W101" s="39"/>
    </row>
    <row r="102" spans="3:23" s="37" customFormat="1" ht="12" x14ac:dyDescent="0.2">
      <c r="C102" s="200">
        <v>6652</v>
      </c>
      <c r="D102" s="37" t="s">
        <v>40</v>
      </c>
      <c r="E102" s="39">
        <f>+'FY21'!E102*(1+MYP!$G$9)</f>
        <v>0</v>
      </c>
      <c r="F102" s="39">
        <f>+'FY21'!F102*(1+MYP!$G$9)</f>
        <v>0</v>
      </c>
      <c r="G102" s="39">
        <f>+'FY21'!G102*(1+MYP!$G$9)</f>
        <v>0</v>
      </c>
      <c r="H102" s="39">
        <f>+'FY21'!H102*(1+MYP!$G$9)</f>
        <v>0</v>
      </c>
      <c r="I102" s="39">
        <f>+'FY21'!I102*(1+MYP!$G$9)</f>
        <v>0</v>
      </c>
      <c r="J102" s="39">
        <f>+'FY21'!J102*(1+MYP!$G$9)</f>
        <v>0</v>
      </c>
      <c r="K102" s="39">
        <f>+'FY21'!K102*(1+MYP!$G$9)</f>
        <v>0</v>
      </c>
      <c r="L102" s="39">
        <f>+'FY21'!L102*(1+MYP!$G$9)</f>
        <v>0</v>
      </c>
      <c r="M102" s="39">
        <f>+'FY21'!M102*(1+MYP!$G$9)</f>
        <v>0</v>
      </c>
      <c r="N102" s="39">
        <f>+'FY21'!N102*(1+MYP!$G$9)</f>
        <v>0</v>
      </c>
      <c r="O102" s="39">
        <f>+'FY21'!O102*(1+MYP!$G$9)</f>
        <v>0</v>
      </c>
      <c r="P102" s="39">
        <f>+'FY21'!P102*(1+MYP!$G$9)</f>
        <v>0</v>
      </c>
      <c r="Q102" s="100"/>
      <c r="R102" s="41"/>
      <c r="S102" s="59">
        <f t="shared" si="31"/>
        <v>0</v>
      </c>
      <c r="T102" s="41"/>
      <c r="U102" s="39">
        <f>'FY21'!S102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1326</v>
      </c>
      <c r="F103" s="50">
        <f t="shared" ref="F103:V103" si="33">SUBTOTAL(9,F96:F102)</f>
        <v>1326</v>
      </c>
      <c r="G103" s="50">
        <f t="shared" si="33"/>
        <v>1326</v>
      </c>
      <c r="H103" s="50">
        <f t="shared" si="33"/>
        <v>40830.18</v>
      </c>
      <c r="I103" s="50">
        <f t="shared" si="33"/>
        <v>22588.5</v>
      </c>
      <c r="J103" s="50">
        <f t="shared" si="33"/>
        <v>1326</v>
      </c>
      <c r="K103" s="50">
        <f t="shared" si="33"/>
        <v>1326</v>
      </c>
      <c r="L103" s="50">
        <f t="shared" si="33"/>
        <v>1326</v>
      </c>
      <c r="M103" s="50">
        <f t="shared" si="33"/>
        <v>1326</v>
      </c>
      <c r="N103" s="50">
        <f t="shared" si="33"/>
        <v>29676</v>
      </c>
      <c r="O103" s="50">
        <f t="shared" si="33"/>
        <v>29676</v>
      </c>
      <c r="P103" s="50">
        <f t="shared" si="33"/>
        <v>1326</v>
      </c>
      <c r="Q103" s="99"/>
      <c r="R103" s="41"/>
      <c r="S103" s="61">
        <f t="shared" si="33"/>
        <v>133378.68</v>
      </c>
      <c r="T103" s="41"/>
      <c r="U103" s="50">
        <f t="shared" si="33"/>
        <v>127484</v>
      </c>
      <c r="V103" s="50">
        <f t="shared" si="33"/>
        <v>-5894.68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200">
        <v>6734</v>
      </c>
      <c r="D105" s="37" t="s">
        <v>41</v>
      </c>
      <c r="E105" s="39">
        <f>+'FY21'!E105*(1+MYP!$G$9)</f>
        <v>0</v>
      </c>
      <c r="F105" s="39">
        <f>+'FY21'!F105*(1+MYP!$G$9)</f>
        <v>0</v>
      </c>
      <c r="G105" s="39">
        <f>+'FY21'!G105*(1+MYP!$G$9)</f>
        <v>0</v>
      </c>
      <c r="H105" s="39">
        <f>+'FY21'!H105*(1+MYP!$G$9)</f>
        <v>0</v>
      </c>
      <c r="I105" s="39">
        <f>+'FY21'!I105*(1+MYP!$G$9)</f>
        <v>0</v>
      </c>
      <c r="J105" s="39">
        <f>+'FY21'!J105*(1+MYP!$G$9)</f>
        <v>0</v>
      </c>
      <c r="K105" s="39">
        <f>+'FY21'!K105*(1+MYP!$G$9)</f>
        <v>0</v>
      </c>
      <c r="L105" s="39">
        <f>+'FY21'!L105*(1+MYP!$G$9)</f>
        <v>0</v>
      </c>
      <c r="M105" s="39">
        <f>+'FY21'!M105*(1+MYP!$G$9)</f>
        <v>0</v>
      </c>
      <c r="N105" s="39">
        <f>+'FY21'!N105*(1+MYP!$G$9)</f>
        <v>0</v>
      </c>
      <c r="O105" s="39">
        <f>+'FY21'!O105*(1+MYP!$G$9)</f>
        <v>0</v>
      </c>
      <c r="P105" s="39">
        <f>+'FY21'!P105*(1+MYP!$G$9)</f>
        <v>0</v>
      </c>
      <c r="Q105" s="100"/>
      <c r="R105" s="41"/>
      <c r="S105" s="59">
        <f t="shared" ref="S105" si="34">SUM(E105:Q105)</f>
        <v>0</v>
      </c>
      <c r="T105" s="41"/>
      <c r="U105" s="39">
        <f>'FY21'!S105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200">
        <v>6810</v>
      </c>
      <c r="D108" s="37" t="s">
        <v>42</v>
      </c>
      <c r="E108" s="39">
        <f>+'FY21'!E108*(1+MYP!$G$9)</f>
        <v>193.8</v>
      </c>
      <c r="F108" s="39">
        <f>+'FY21'!F108*(1+MYP!$G$9)</f>
        <v>71.400000000000006</v>
      </c>
      <c r="G108" s="39">
        <f>+'FY21'!G108*(1+MYP!$G$9)</f>
        <v>1295.4000000000001</v>
      </c>
      <c r="H108" s="39">
        <f>+'FY21'!H108*(1+MYP!$G$9)</f>
        <v>10.199999999999999</v>
      </c>
      <c r="I108" s="39">
        <f>+'FY21'!I108*(1+MYP!$G$9)</f>
        <v>10.199999999999999</v>
      </c>
      <c r="J108" s="39">
        <f>+'FY21'!J108*(1+MYP!$G$9)</f>
        <v>71.400000000000006</v>
      </c>
      <c r="K108" s="39">
        <f>+'FY21'!K108*(1+MYP!$G$9)</f>
        <v>71.400000000000006</v>
      </c>
      <c r="L108" s="39">
        <f>+'FY21'!L108*(1+MYP!$G$9)</f>
        <v>102</v>
      </c>
      <c r="M108" s="39">
        <f>+'FY21'!M108*(1+MYP!$G$9)</f>
        <v>323.34000000000003</v>
      </c>
      <c r="N108" s="39">
        <f>+'FY21'!N108*(1+MYP!$G$9)</f>
        <v>10.199999999999999</v>
      </c>
      <c r="O108" s="39">
        <f>+'FY21'!O108*(1+MYP!$G$9)</f>
        <v>10.199999999999999</v>
      </c>
      <c r="P108" s="39">
        <f>+'FY21'!P108*(1+MYP!$G$9)</f>
        <v>10.199999999999999</v>
      </c>
      <c r="Q108" s="100"/>
      <c r="R108" s="41"/>
      <c r="S108" s="59">
        <f t="shared" ref="S108" si="37">SUM(E108:Q108)</f>
        <v>2179.7399999999998</v>
      </c>
      <c r="T108" s="41"/>
      <c r="U108" s="39">
        <f>'FY21'!S108</f>
        <v>2137</v>
      </c>
      <c r="V108" s="39">
        <f t="shared" ref="V108" si="38">U108-S108</f>
        <v>-42.739999999999782</v>
      </c>
      <c r="W108" s="39"/>
    </row>
    <row r="109" spans="3:23" s="37" customFormat="1" ht="12" x14ac:dyDescent="0.2">
      <c r="C109" s="38"/>
      <c r="E109" s="50">
        <f>SUBTOTAL(9,E108)</f>
        <v>193.8</v>
      </c>
      <c r="F109" s="50">
        <f t="shared" ref="F109:P109" si="39">SUBTOTAL(9,F108)</f>
        <v>71.400000000000006</v>
      </c>
      <c r="G109" s="50">
        <f t="shared" si="39"/>
        <v>1295.4000000000001</v>
      </c>
      <c r="H109" s="50">
        <f t="shared" si="39"/>
        <v>10.199999999999999</v>
      </c>
      <c r="I109" s="50">
        <f t="shared" si="39"/>
        <v>10.199999999999999</v>
      </c>
      <c r="J109" s="50">
        <f t="shared" si="39"/>
        <v>71.400000000000006</v>
      </c>
      <c r="K109" s="50">
        <f t="shared" si="39"/>
        <v>71.400000000000006</v>
      </c>
      <c r="L109" s="50">
        <f t="shared" si="39"/>
        <v>102</v>
      </c>
      <c r="M109" s="50">
        <f t="shared" si="39"/>
        <v>323.34000000000003</v>
      </c>
      <c r="N109" s="50">
        <f t="shared" si="39"/>
        <v>10.199999999999999</v>
      </c>
      <c r="O109" s="50">
        <f t="shared" si="39"/>
        <v>10.199999999999999</v>
      </c>
      <c r="P109" s="50">
        <f t="shared" si="39"/>
        <v>10.199999999999999</v>
      </c>
      <c r="Q109" s="99"/>
      <c r="R109" s="41"/>
      <c r="S109" s="61">
        <f t="shared" ref="S109" si="40">SUBTOTAL(9,S108)</f>
        <v>2179.7399999999998</v>
      </c>
      <c r="T109" s="41"/>
      <c r="U109" s="50">
        <f t="shared" ref="U109:V109" si="41">SUBTOTAL(9,U108)</f>
        <v>2137</v>
      </c>
      <c r="V109" s="50">
        <f t="shared" si="41"/>
        <v>-42.739999999999782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200">
        <v>7306</v>
      </c>
      <c r="D111" s="37" t="s">
        <v>43</v>
      </c>
      <c r="E111" s="39">
        <f>+'FY21'!E111*(1+MYP!$G$9)</f>
        <v>0</v>
      </c>
      <c r="F111" s="39">
        <f>+'FY21'!F111*(1+MYP!$G$9)</f>
        <v>0</v>
      </c>
      <c r="G111" s="39">
        <f>+'FY21'!G111*(1+MYP!$G$9)</f>
        <v>0</v>
      </c>
      <c r="H111" s="39">
        <f>+'FY21'!H111*(1+MYP!$G$9)</f>
        <v>0</v>
      </c>
      <c r="I111" s="39">
        <f>+'FY21'!I111*(1+MYP!$G$9)</f>
        <v>0</v>
      </c>
      <c r="J111" s="39">
        <f>+'FY21'!J111*(1+MYP!$G$9)</f>
        <v>0</v>
      </c>
      <c r="K111" s="39">
        <f>+'FY21'!K111*(1+MYP!$G$9)</f>
        <v>0</v>
      </c>
      <c r="L111" s="39">
        <f>+'FY21'!L111*(1+MYP!$G$9)</f>
        <v>0</v>
      </c>
      <c r="M111" s="39">
        <f>+'FY21'!M111*(1+MYP!$G$9)</f>
        <v>0</v>
      </c>
      <c r="N111" s="39">
        <f>+'FY21'!N111*(1+MYP!$G$9)</f>
        <v>0</v>
      </c>
      <c r="O111" s="39">
        <f>+'FY21'!O111*(1+MYP!$G$9)</f>
        <v>0</v>
      </c>
      <c r="P111" s="39">
        <f>+'FY21'!P111*(1+MYP!$G$9)</f>
        <v>0</v>
      </c>
      <c r="Q111" s="101"/>
      <c r="R111" s="41"/>
      <c r="S111" s="62">
        <f t="shared" ref="S111:S112" si="42">SUM(E111:Q111)</f>
        <v>0</v>
      </c>
      <c r="T111" s="41"/>
      <c r="U111" s="41">
        <f>'FY21'!S111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177</v>
      </c>
      <c r="E112" s="39">
        <f>+'FY21'!E112*(1+MYP!$G$9)</f>
        <v>0</v>
      </c>
      <c r="F112" s="39">
        <f>+'FY21'!F112*(1+MYP!$G$9)</f>
        <v>0</v>
      </c>
      <c r="G112" s="39">
        <f>+'FY21'!G112*(1+MYP!$G$9)</f>
        <v>0</v>
      </c>
      <c r="H112" s="39">
        <f>+'FY21'!H112*(1+MYP!$G$9)</f>
        <v>0</v>
      </c>
      <c r="I112" s="39">
        <f>+'FY21'!I112*(1+MYP!$G$9)</f>
        <v>0</v>
      </c>
      <c r="J112" s="39">
        <f>+'FY21'!J112*(1+MYP!$G$9)</f>
        <v>0</v>
      </c>
      <c r="K112" s="39">
        <f>+'FY21'!K112*(1+MYP!$G$9)</f>
        <v>0</v>
      </c>
      <c r="L112" s="39">
        <f>+'FY21'!L112*(1+MYP!$G$9)</f>
        <v>0</v>
      </c>
      <c r="M112" s="39">
        <f>+'FY21'!M112*(1+MYP!$G$9)</f>
        <v>0</v>
      </c>
      <c r="N112" s="39">
        <f>+'FY21'!N112*(1+MYP!$G$9)</f>
        <v>0</v>
      </c>
      <c r="O112" s="39">
        <f>+'FY21'!O112*(1+MYP!$G$9)</f>
        <v>0</v>
      </c>
      <c r="P112" s="39">
        <f>+'FY21'!P112*(1+MYP!$G$9)</f>
        <v>0</v>
      </c>
      <c r="Q112" s="101"/>
      <c r="R112" s="41"/>
      <c r="S112" s="62">
        <f t="shared" si="42"/>
        <v>0</v>
      </c>
      <c r="T112" s="41"/>
      <c r="U112" s="41">
        <f>'FY21'!S112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106103.9277765125</v>
      </c>
      <c r="F115" s="43">
        <f t="shared" si="46"/>
        <v>51549.977776512511</v>
      </c>
      <c r="G115" s="43">
        <f t="shared" si="46"/>
        <v>53513.575186512491</v>
      </c>
      <c r="H115" s="43">
        <f t="shared" si="46"/>
        <v>228859.2882765125</v>
      </c>
      <c r="I115" s="43">
        <f t="shared" si="46"/>
        <v>194723.45068651251</v>
      </c>
      <c r="J115" s="43">
        <f t="shared" si="46"/>
        <v>38612.330776512506</v>
      </c>
      <c r="K115" s="43">
        <f t="shared" si="46"/>
        <v>51399.650686512505</v>
      </c>
      <c r="L115" s="43">
        <f t="shared" si="46"/>
        <v>50032.855276512506</v>
      </c>
      <c r="M115" s="43">
        <f t="shared" si="46"/>
        <v>211004.51518651249</v>
      </c>
      <c r="N115" s="43">
        <f t="shared" si="46"/>
        <v>222349.09768651251</v>
      </c>
      <c r="O115" s="43">
        <f t="shared" si="46"/>
        <v>67701.534976512499</v>
      </c>
      <c r="P115" s="43">
        <f t="shared" si="46"/>
        <v>51950.312476512503</v>
      </c>
      <c r="Q115" s="47"/>
      <c r="R115" s="48"/>
      <c r="S115" s="60">
        <f>SUBTOTAL(9,S30:S114)</f>
        <v>1327800.51676815</v>
      </c>
      <c r="T115" s="48"/>
      <c r="U115" s="43">
        <f>SUBTOTAL(9,U30:U114)</f>
        <v>1279162.1242824998</v>
      </c>
      <c r="V115" s="43">
        <f>SUBTOTAL(9,V30:V114)</f>
        <v>-48638.392485650053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2">
        <f t="shared" ref="E117:P117" si="47">E27-E115</f>
        <v>12966.072223487499</v>
      </c>
      <c r="F117" s="182">
        <f t="shared" si="47"/>
        <v>67520.022223487496</v>
      </c>
      <c r="G117" s="182">
        <f t="shared" si="47"/>
        <v>65556.424813487509</v>
      </c>
      <c r="H117" s="182">
        <f t="shared" si="47"/>
        <v>-109789.2882765125</v>
      </c>
      <c r="I117" s="182">
        <f t="shared" si="47"/>
        <v>-75653.450686512515</v>
      </c>
      <c r="J117" s="182">
        <f t="shared" si="47"/>
        <v>80457.669223487494</v>
      </c>
      <c r="K117" s="182">
        <f t="shared" si="47"/>
        <v>67670.349313487503</v>
      </c>
      <c r="L117" s="182">
        <f t="shared" si="47"/>
        <v>69037.144723487494</v>
      </c>
      <c r="M117" s="182">
        <f t="shared" si="47"/>
        <v>-91934.515186512494</v>
      </c>
      <c r="N117" s="182">
        <f t="shared" si="47"/>
        <v>-103279.09768651251</v>
      </c>
      <c r="O117" s="182">
        <f t="shared" si="47"/>
        <v>51368.465023487501</v>
      </c>
      <c r="P117" s="182">
        <f t="shared" si="47"/>
        <v>67114.924723487493</v>
      </c>
      <c r="Q117" s="191"/>
      <c r="R117" s="192"/>
      <c r="S117" s="193">
        <f>S27-S115</f>
        <v>101034.72043184983</v>
      </c>
      <c r="T117" s="192"/>
      <c r="U117" s="182">
        <f>U27-U115</f>
        <v>82017.339717499912</v>
      </c>
      <c r="V117" s="182">
        <f>V27+V115</f>
        <v>19017.380714349973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12966.072223487499</v>
      </c>
      <c r="F120" s="39">
        <f t="shared" ref="F120:P120" si="48">F117</f>
        <v>67520.022223487496</v>
      </c>
      <c r="G120" s="39">
        <f t="shared" si="48"/>
        <v>65556.424813487509</v>
      </c>
      <c r="H120" s="39">
        <f t="shared" si="48"/>
        <v>-109789.2882765125</v>
      </c>
      <c r="I120" s="39">
        <f t="shared" si="48"/>
        <v>-75653.450686512515</v>
      </c>
      <c r="J120" s="39">
        <f t="shared" si="48"/>
        <v>80457.669223487494</v>
      </c>
      <c r="K120" s="39">
        <f t="shared" si="48"/>
        <v>67670.349313487503</v>
      </c>
      <c r="L120" s="39">
        <f t="shared" si="48"/>
        <v>69037.144723487494</v>
      </c>
      <c r="M120" s="39">
        <f t="shared" si="48"/>
        <v>-91934.515186512494</v>
      </c>
      <c r="N120" s="39">
        <f t="shared" si="48"/>
        <v>-103279.09768651251</v>
      </c>
      <c r="O120" s="39">
        <f t="shared" si="48"/>
        <v>51368.465023487501</v>
      </c>
      <c r="P120" s="39">
        <f t="shared" si="48"/>
        <v>67114.924723487493</v>
      </c>
      <c r="Q120" s="44"/>
      <c r="R120" s="41"/>
      <c r="S120" s="59">
        <f t="shared" ref="S120:S136" si="49">SUM(E120:Q120)</f>
        <v>101034.72043184996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-'FY21'!Q123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-'FY21'!Q128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12966.072223487499</v>
      </c>
      <c r="F138" s="39">
        <f>SUM(F120:F136)</f>
        <v>67520.022223487496</v>
      </c>
      <c r="G138" s="39">
        <f t="shared" ref="G138:P138" si="51">SUM(G120:G136)</f>
        <v>65556.424813487509</v>
      </c>
      <c r="H138" s="39">
        <f t="shared" si="51"/>
        <v>-109789.2882765125</v>
      </c>
      <c r="I138" s="39">
        <f t="shared" si="51"/>
        <v>-75653.450686512515</v>
      </c>
      <c r="J138" s="39">
        <f t="shared" si="51"/>
        <v>80457.669223487494</v>
      </c>
      <c r="K138" s="39">
        <f t="shared" si="51"/>
        <v>67670.349313487503</v>
      </c>
      <c r="L138" s="39">
        <f t="shared" si="51"/>
        <v>69037.144723487494</v>
      </c>
      <c r="M138" s="39">
        <f t="shared" si="51"/>
        <v>-91934.515186512494</v>
      </c>
      <c r="N138" s="39">
        <f t="shared" si="51"/>
        <v>-103279.09768651251</v>
      </c>
      <c r="O138" s="39">
        <f t="shared" si="51"/>
        <v>51368.465023487501</v>
      </c>
      <c r="P138" s="39">
        <f t="shared" si="51"/>
        <v>67114.924723487493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'FY21'!P141</f>
        <v>82017.339717499766</v>
      </c>
      <c r="F139" s="42">
        <f>E141</f>
        <v>94983.411940987266</v>
      </c>
      <c r="G139" s="42">
        <f t="shared" ref="G139:P139" si="52">F141</f>
        <v>162503.43416447478</v>
      </c>
      <c r="H139" s="42">
        <f t="shared" si="52"/>
        <v>228059.85897796229</v>
      </c>
      <c r="I139" s="42">
        <f t="shared" si="52"/>
        <v>118270.57070144979</v>
      </c>
      <c r="J139" s="42">
        <f t="shared" si="52"/>
        <v>42617.120014937274</v>
      </c>
      <c r="K139" s="42">
        <f t="shared" si="52"/>
        <v>123074.78923842477</v>
      </c>
      <c r="L139" s="42">
        <f t="shared" si="52"/>
        <v>190745.13855191227</v>
      </c>
      <c r="M139" s="42">
        <f t="shared" si="52"/>
        <v>259782.28327539976</v>
      </c>
      <c r="N139" s="42">
        <f t="shared" si="52"/>
        <v>167847.76808888727</v>
      </c>
      <c r="O139" s="42">
        <f t="shared" si="52"/>
        <v>64568.670402374759</v>
      </c>
      <c r="P139" s="42">
        <f t="shared" si="52"/>
        <v>115937.13542586226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5">
        <f>SUM(E138:E140)</f>
        <v>94983.411940987266</v>
      </c>
      <c r="F141" s="195">
        <f>SUM(F138:F140)</f>
        <v>162503.43416447478</v>
      </c>
      <c r="G141" s="195">
        <f t="shared" ref="G141:P141" si="53">SUM(G138:G140)</f>
        <v>228059.85897796229</v>
      </c>
      <c r="H141" s="195">
        <f t="shared" si="53"/>
        <v>118270.57070144979</v>
      </c>
      <c r="I141" s="195">
        <f t="shared" si="53"/>
        <v>42617.120014937274</v>
      </c>
      <c r="J141" s="195">
        <f t="shared" si="53"/>
        <v>123074.78923842477</v>
      </c>
      <c r="K141" s="195">
        <f t="shared" si="53"/>
        <v>190745.13855191227</v>
      </c>
      <c r="L141" s="195">
        <f t="shared" si="53"/>
        <v>259782.28327539976</v>
      </c>
      <c r="M141" s="195">
        <f t="shared" si="53"/>
        <v>167847.76808888727</v>
      </c>
      <c r="N141" s="195">
        <f t="shared" si="53"/>
        <v>64568.670402374759</v>
      </c>
      <c r="O141" s="195">
        <f t="shared" si="53"/>
        <v>115937.13542586226</v>
      </c>
      <c r="P141" s="195">
        <f t="shared" si="53"/>
        <v>183052.06014934974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/Z9vOkHA8HpNXOcs82+pUtt/T4oE+VRZ+3PKHqB4nNF5O8iYs8eMuXLN6vlbezK9VYxwl6gfSEjTfFqF9YkOfg==" saltValue="K9Dre7/GZUV4hIz/1r5VCg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W277"/>
  <sheetViews>
    <sheetView workbookViewId="0">
      <selection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6" width="8.85546875" style="14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",MYP!I4)</f>
        <v>Monthly Cash Flow/Budget FY23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'FY21'!E4+(365*2)</f>
        <v>44743</v>
      </c>
      <c r="F4" s="33">
        <f t="shared" ref="F4:P4" si="0">E4+31</f>
        <v>44774</v>
      </c>
      <c r="G4" s="33">
        <f t="shared" si="0"/>
        <v>44805</v>
      </c>
      <c r="H4" s="33">
        <f t="shared" si="0"/>
        <v>44836</v>
      </c>
      <c r="I4" s="33">
        <f t="shared" si="0"/>
        <v>44867</v>
      </c>
      <c r="J4" s="33">
        <f t="shared" si="0"/>
        <v>44898</v>
      </c>
      <c r="K4" s="33">
        <f t="shared" si="0"/>
        <v>44929</v>
      </c>
      <c r="L4" s="33">
        <f t="shared" si="0"/>
        <v>44960</v>
      </c>
      <c r="M4" s="33">
        <f t="shared" si="0"/>
        <v>44991</v>
      </c>
      <c r="N4" s="33">
        <f t="shared" si="0"/>
        <v>45022</v>
      </c>
      <c r="O4" s="33">
        <f t="shared" si="0"/>
        <v>45053</v>
      </c>
      <c r="P4" s="56">
        <f t="shared" si="0"/>
        <v>45084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9" t="s">
        <v>184</v>
      </c>
      <c r="E5" s="328">
        <f>IF(('Rev &amp; Enroll'!$F37*'Rev &amp; Enroll'!$F24)&gt;500000,0.08333,0)</f>
        <v>8.3330000000000001E-2</v>
      </c>
      <c r="F5" s="328">
        <f>IF(('Rev &amp; Enroll'!$F37*'Rev &amp; Enroll'!$F24)&gt;500000,0.08333,0.25)</f>
        <v>8.3330000000000001E-2</v>
      </c>
      <c r="G5" s="328">
        <f>IF(('Rev &amp; Enroll'!$F37*'Rev &amp; Enroll'!$F24)&gt;500000,0.08333,0)</f>
        <v>8.3330000000000001E-2</v>
      </c>
      <c r="H5" s="328">
        <f>IF(('Rev &amp; Enroll'!$F37*'Rev &amp; Enroll'!$F24)&gt;500000,0.08333,0)</f>
        <v>8.3330000000000001E-2</v>
      </c>
      <c r="I5" s="328">
        <f>IF(('Rev &amp; Enroll'!$F37*'Rev &amp; Enroll'!$F24)&gt;500000,0.08333,0.25)</f>
        <v>8.3330000000000001E-2</v>
      </c>
      <c r="J5" s="328">
        <f>IF(('Rev &amp; Enroll'!$F37*'Rev &amp; Enroll'!$F24)&gt;500000,0.08333,0)</f>
        <v>8.3330000000000001E-2</v>
      </c>
      <c r="K5" s="328">
        <f>IF(('Rev &amp; Enroll'!$F37*'Rev &amp; Enroll'!$F24)&gt;500000,0.08333,0)</f>
        <v>8.3330000000000001E-2</v>
      </c>
      <c r="L5" s="328">
        <f>IF(('Rev &amp; Enroll'!$F37*'Rev &amp; Enroll'!$F24)&gt;500000,0.08333,0.25)</f>
        <v>8.3330000000000001E-2</v>
      </c>
      <c r="M5" s="328">
        <f>IF(('Rev &amp; Enroll'!$F37*'Rev &amp; Enroll'!$F24)&gt;500000,0.08333,0)</f>
        <v>8.3330000000000001E-2</v>
      </c>
      <c r="N5" s="328">
        <f>IF(('Rev &amp; Enroll'!$F37*'Rev &amp; Enroll'!$F24)&gt;500000,0.08333,0)</f>
        <v>8.3330000000000001E-2</v>
      </c>
      <c r="O5" s="328">
        <f>IF(('Rev &amp; Enroll'!$F37*'Rev &amp; Enroll'!$F24)&gt;500000,0.08333,0.25)</f>
        <v>8.3330000000000001E-2</v>
      </c>
      <c r="P5" s="328">
        <f>IF(('Rev &amp; Enroll'!$F37*'Rev &amp; Enroll'!$F24)&gt;500000,0.08333,0)</f>
        <v>8.3330000000000001E-2</v>
      </c>
      <c r="Q5" s="223">
        <f>1-SUM(E5:P5)</f>
        <v>3.9999999999928981E-5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200">
        <v>1110</v>
      </c>
      <c r="D8" s="37" t="s">
        <v>0</v>
      </c>
      <c r="E8" s="181">
        <f>+'FY22'!E8*(1+MYP!$I$8)</f>
        <v>32377.5144</v>
      </c>
      <c r="F8" s="181">
        <f>+'FY22'!F8*(1+MYP!$I$8)</f>
        <v>32377.5144</v>
      </c>
      <c r="G8" s="181">
        <f>+'FY22'!G8*(1+MYP!$I$8)</f>
        <v>32377.5144</v>
      </c>
      <c r="H8" s="181">
        <f>+'FY22'!H8*(1+MYP!$I$8)</f>
        <v>32377.5144</v>
      </c>
      <c r="I8" s="181">
        <f>+'FY22'!I8*(1+MYP!$I$8)</f>
        <v>32377.5144</v>
      </c>
      <c r="J8" s="181">
        <f>+'FY22'!J8*(1+MYP!$I$8)</f>
        <v>32377.5144</v>
      </c>
      <c r="K8" s="181">
        <f>+'FY22'!K8*(1+MYP!$I$8)</f>
        <v>32377.5144</v>
      </c>
      <c r="L8" s="181">
        <f>+'FY22'!L8*(1+MYP!$I$8)</f>
        <v>32377.5144</v>
      </c>
      <c r="M8" s="181">
        <f>+'FY22'!M8*(1+MYP!$I$8)</f>
        <v>32377.5144</v>
      </c>
      <c r="N8" s="181">
        <f>+'FY22'!N8*(1+MYP!$I$8)</f>
        <v>32377.5144</v>
      </c>
      <c r="O8" s="181">
        <f>+'FY22'!O8*(1+MYP!$I$8)</f>
        <v>32377.5144</v>
      </c>
      <c r="P8" s="181">
        <f>+'FY22'!P8*(1+MYP!$I$8)</f>
        <v>32376.219299424003</v>
      </c>
      <c r="Q8" s="186"/>
      <c r="R8" s="187"/>
      <c r="S8" s="188">
        <f>SUM(E8:Q8)</f>
        <v>388528.87769942393</v>
      </c>
      <c r="T8" s="187"/>
      <c r="U8" s="181">
        <f>'FY22'!S8</f>
        <v>377212.50262079999</v>
      </c>
      <c r="V8" s="181">
        <f t="shared" ref="V8:V20" si="1">S8-U8</f>
        <v>11316.37507862394</v>
      </c>
      <c r="W8" s="39"/>
    </row>
    <row r="9" spans="1:23" s="37" customFormat="1" ht="12" x14ac:dyDescent="0.2">
      <c r="A9" s="45"/>
      <c r="C9" s="200">
        <v>1120</v>
      </c>
      <c r="D9" s="37" t="s">
        <v>1</v>
      </c>
      <c r="E9" s="363">
        <f>+'FY22'!E9*(1+MYP!$I$8)</f>
        <v>35566.209000000003</v>
      </c>
      <c r="F9" s="363">
        <f>+'FY22'!F9*(1+MYP!$I$8)</f>
        <v>35566.209000000003</v>
      </c>
      <c r="G9" s="363">
        <f>+'FY22'!G9*(1+MYP!$I$8)</f>
        <v>35566.209000000003</v>
      </c>
      <c r="H9" s="363">
        <f>+'FY22'!H9*(1+MYP!$I$8)</f>
        <v>35566.209000000003</v>
      </c>
      <c r="I9" s="363">
        <f>+'FY22'!I9*(1+MYP!$I$8)</f>
        <v>35566.209000000003</v>
      </c>
      <c r="J9" s="363">
        <f>+'FY22'!J9*(1+MYP!$I$8)</f>
        <v>35566.209000000003</v>
      </c>
      <c r="K9" s="363">
        <f>+'FY22'!K9*(1+MYP!$I$8)</f>
        <v>35566.209000000003</v>
      </c>
      <c r="L9" s="363">
        <f>+'FY22'!L9*(1+MYP!$I$8)</f>
        <v>35566.209000000003</v>
      </c>
      <c r="M9" s="363">
        <f>+'FY22'!M9*(1+MYP!$I$8)</f>
        <v>35566.209000000003</v>
      </c>
      <c r="N9" s="363">
        <f>+'FY22'!N9*(1+MYP!$I$8)</f>
        <v>35566.209000000003</v>
      </c>
      <c r="O9" s="363">
        <f>+'FY22'!O9*(1+MYP!$I$8)</f>
        <v>35566.209000000003</v>
      </c>
      <c r="P9" s="363">
        <f>+'FY22'!P9*(1+MYP!$I$8)</f>
        <v>35564.786351640003</v>
      </c>
      <c r="Q9" s="36"/>
      <c r="R9" s="41"/>
      <c r="S9" s="59">
        <f t="shared" ref="S9:S20" si="2">SUM(E9:Q9)</f>
        <v>426793.08535164013</v>
      </c>
      <c r="T9" s="41"/>
      <c r="U9" s="39">
        <f>'FY22'!S9</f>
        <v>414362.21878799994</v>
      </c>
      <c r="V9" s="39">
        <f t="shared" si="1"/>
        <v>12430.866563640186</v>
      </c>
      <c r="W9" s="39"/>
    </row>
    <row r="10" spans="1:23" s="37" customFormat="1" ht="12" x14ac:dyDescent="0.2">
      <c r="A10" s="45"/>
      <c r="C10" s="200">
        <v>1191</v>
      </c>
      <c r="D10" s="37" t="s">
        <v>2</v>
      </c>
      <c r="E10" s="363">
        <f>+'FY22'!E10*(1+MYP!$I$8)</f>
        <v>122.6421</v>
      </c>
      <c r="F10" s="363">
        <f>+'FY22'!F10*(1+MYP!$I$8)</f>
        <v>122.6421</v>
      </c>
      <c r="G10" s="363">
        <f>+'FY22'!G10*(1+MYP!$I$8)</f>
        <v>122.6421</v>
      </c>
      <c r="H10" s="363">
        <f>+'FY22'!H10*(1+MYP!$I$8)</f>
        <v>122.6421</v>
      </c>
      <c r="I10" s="363">
        <f>+'FY22'!I10*(1+MYP!$I$8)</f>
        <v>122.6421</v>
      </c>
      <c r="J10" s="363">
        <f>+'FY22'!J10*(1+MYP!$I$8)</f>
        <v>122.6421</v>
      </c>
      <c r="K10" s="363">
        <f>+'FY22'!K10*(1+MYP!$I$8)</f>
        <v>122.6421</v>
      </c>
      <c r="L10" s="363">
        <f>+'FY22'!L10*(1+MYP!$I$8)</f>
        <v>122.6421</v>
      </c>
      <c r="M10" s="363">
        <f>+'FY22'!M10*(1+MYP!$I$8)</f>
        <v>122.6421</v>
      </c>
      <c r="N10" s="363">
        <f>+'FY22'!N10*(1+MYP!$I$8)</f>
        <v>122.6421</v>
      </c>
      <c r="O10" s="363">
        <f>+'FY22'!O10*(1+MYP!$I$8)</f>
        <v>122.6421</v>
      </c>
      <c r="P10" s="363">
        <f>+'FY22'!P10*(1+MYP!$I$8)</f>
        <v>122.63719431600002</v>
      </c>
      <c r="Q10" s="36"/>
      <c r="R10" s="41"/>
      <c r="S10" s="59">
        <f t="shared" si="2"/>
        <v>1471.7002943160001</v>
      </c>
      <c r="T10" s="41"/>
      <c r="U10" s="39">
        <f>'FY22'!S10</f>
        <v>1428.8352371999995</v>
      </c>
      <c r="V10" s="39">
        <f t="shared" si="1"/>
        <v>42.865057116000571</v>
      </c>
      <c r="W10" s="39"/>
    </row>
    <row r="11" spans="1:23" s="37" customFormat="1" ht="12" x14ac:dyDescent="0.2">
      <c r="A11" s="45"/>
      <c r="C11" s="200">
        <v>1192</v>
      </c>
      <c r="D11" s="37" t="s">
        <v>3</v>
      </c>
      <c r="E11" s="363">
        <f>+'FY22'!E11*(1+MYP!$I$8)</f>
        <v>3801.9050999999999</v>
      </c>
      <c r="F11" s="363">
        <f>+'FY22'!F11*(1+MYP!$I$8)</f>
        <v>3801.9050999999999</v>
      </c>
      <c r="G11" s="363">
        <f>+'FY22'!G11*(1+MYP!$I$8)</f>
        <v>3801.9050999999999</v>
      </c>
      <c r="H11" s="363">
        <f>+'FY22'!H11*(1+MYP!$I$8)</f>
        <v>3801.9050999999999</v>
      </c>
      <c r="I11" s="363">
        <f>+'FY22'!I11*(1+MYP!$I$8)</f>
        <v>3801.9050999999999</v>
      </c>
      <c r="J11" s="363">
        <f>+'FY22'!J11*(1+MYP!$I$8)</f>
        <v>3801.9050999999999</v>
      </c>
      <c r="K11" s="363">
        <f>+'FY22'!K11*(1+MYP!$I$8)</f>
        <v>3801.9050999999999</v>
      </c>
      <c r="L11" s="363">
        <f>+'FY22'!L11*(1+MYP!$I$8)</f>
        <v>3801.9050999999999</v>
      </c>
      <c r="M11" s="363">
        <f>+'FY22'!M11*(1+MYP!$I$8)</f>
        <v>3801.9050999999999</v>
      </c>
      <c r="N11" s="363">
        <f>+'FY22'!N11*(1+MYP!$I$8)</f>
        <v>3801.9050999999999</v>
      </c>
      <c r="O11" s="363">
        <f>+'FY22'!O11*(1+MYP!$I$8)</f>
        <v>3801.9050999999999</v>
      </c>
      <c r="P11" s="363">
        <f>+'FY22'!P11*(1+MYP!$I$8)</f>
        <v>3801.7530237960004</v>
      </c>
      <c r="Q11" s="98"/>
      <c r="R11" s="41"/>
      <c r="S11" s="59">
        <f t="shared" si="2"/>
        <v>45622.709123796012</v>
      </c>
      <c r="T11" s="41"/>
      <c r="U11" s="39">
        <f>'FY22'!S11</f>
        <v>44293.89235319999</v>
      </c>
      <c r="V11" s="39">
        <f t="shared" si="1"/>
        <v>1328.8167705960223</v>
      </c>
      <c r="W11" s="39"/>
    </row>
    <row r="12" spans="1:23" s="37" customFormat="1" ht="12" x14ac:dyDescent="0.2">
      <c r="A12" s="45"/>
      <c r="C12" s="200">
        <v>3110</v>
      </c>
      <c r="D12" s="37" t="s">
        <v>73</v>
      </c>
      <c r="E12" s="363">
        <f>+'FY22'!E12*(1+MYP!$I$8)</f>
        <v>50773.829399999995</v>
      </c>
      <c r="F12" s="363">
        <f>+'FY22'!F12*(1+MYP!$I$8)</f>
        <v>50773.829399999995</v>
      </c>
      <c r="G12" s="363">
        <f>+'FY22'!G12*(1+MYP!$I$8)</f>
        <v>50773.829399999995</v>
      </c>
      <c r="H12" s="363">
        <f>+'FY22'!H12*(1+MYP!$I$8)</f>
        <v>50773.829399999995</v>
      </c>
      <c r="I12" s="363">
        <f>+'FY22'!I12*(1+MYP!$I$8)</f>
        <v>50773.829399999995</v>
      </c>
      <c r="J12" s="363">
        <f>+'FY22'!J12*(1+MYP!$I$8)</f>
        <v>50773.829399999995</v>
      </c>
      <c r="K12" s="363">
        <f>+'FY22'!K12*(1+MYP!$I$8)</f>
        <v>50773.829399999995</v>
      </c>
      <c r="L12" s="363">
        <f>+'FY22'!L12*(1+MYP!$I$8)</f>
        <v>50773.829399999995</v>
      </c>
      <c r="M12" s="363">
        <f>+'FY22'!M12*(1+MYP!$I$8)</f>
        <v>50773.829399999995</v>
      </c>
      <c r="N12" s="363">
        <f>+'FY22'!N12*(1+MYP!$I$8)</f>
        <v>50773.829399999995</v>
      </c>
      <c r="O12" s="363">
        <f>+'FY22'!O12*(1+MYP!$I$8)</f>
        <v>50773.829399999995</v>
      </c>
      <c r="P12" s="363">
        <f>+'FY22'!P12*(1+MYP!$I$8)</f>
        <v>50771.798446824003</v>
      </c>
      <c r="Q12" s="98"/>
      <c r="R12" s="41"/>
      <c r="S12" s="59">
        <f t="shared" si="2"/>
        <v>609283.92184682388</v>
      </c>
      <c r="T12" s="41"/>
      <c r="U12" s="39">
        <f>'FY22'!S12</f>
        <v>591537.78820079996</v>
      </c>
      <c r="V12" s="39">
        <f t="shared" si="1"/>
        <v>17746.133646023925</v>
      </c>
      <c r="W12" s="39"/>
    </row>
    <row r="13" spans="1:23" s="37" customFormat="1" ht="12" x14ac:dyDescent="0.2">
      <c r="A13" s="45"/>
      <c r="C13" s="38"/>
      <c r="E13" s="50">
        <f>SUBTOTAL(9,E8:E12)</f>
        <v>122642.1</v>
      </c>
      <c r="F13" s="50">
        <f t="shared" ref="F13:S13" si="3">SUBTOTAL(9,F8:F12)</f>
        <v>122642.1</v>
      </c>
      <c r="G13" s="50">
        <f t="shared" si="3"/>
        <v>122642.1</v>
      </c>
      <c r="H13" s="50">
        <f t="shared" si="3"/>
        <v>122642.1</v>
      </c>
      <c r="I13" s="50">
        <f t="shared" si="3"/>
        <v>122642.1</v>
      </c>
      <c r="J13" s="50">
        <f t="shared" si="3"/>
        <v>122642.1</v>
      </c>
      <c r="K13" s="50">
        <f t="shared" si="3"/>
        <v>122642.1</v>
      </c>
      <c r="L13" s="50">
        <f t="shared" si="3"/>
        <v>122642.1</v>
      </c>
      <c r="M13" s="50">
        <f t="shared" si="3"/>
        <v>122642.1</v>
      </c>
      <c r="N13" s="50">
        <f t="shared" si="3"/>
        <v>122642.1</v>
      </c>
      <c r="O13" s="50">
        <f t="shared" si="3"/>
        <v>122642.1</v>
      </c>
      <c r="P13" s="50">
        <f t="shared" si="3"/>
        <v>122637.19431600002</v>
      </c>
      <c r="Q13" s="99"/>
      <c r="R13" s="41"/>
      <c r="S13" s="61">
        <f t="shared" si="3"/>
        <v>1471700.2943159998</v>
      </c>
      <c r="T13" s="41"/>
      <c r="U13" s="50">
        <f t="shared" ref="U13" si="4">SUBTOTAL(9,U8:U12)</f>
        <v>1428835.2371999999</v>
      </c>
      <c r="V13" s="50">
        <f t="shared" ref="V13" si="5">SUBTOTAL(9,V8:V12)</f>
        <v>42865.057116000069</v>
      </c>
      <c r="W13" s="39"/>
    </row>
    <row r="14" spans="1:23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200">
        <v>3115</v>
      </c>
      <c r="D15" s="37" t="s">
        <v>5</v>
      </c>
      <c r="E15" s="363">
        <f>+'FY22'!E15*(1+MYP!$I$8)</f>
        <v>0</v>
      </c>
      <c r="F15" s="363">
        <f>+'FY22'!F15*(1+MYP!$I$8)</f>
        <v>0</v>
      </c>
      <c r="G15" s="363">
        <f>+'FY22'!G15*(1+MYP!$I$8)</f>
        <v>0</v>
      </c>
      <c r="H15" s="363">
        <f>+'FY22'!H15*(1+MYP!$I$8)</f>
        <v>0</v>
      </c>
      <c r="I15" s="363">
        <f>+'FY22'!I15*(1+MYP!$I$8)</f>
        <v>0</v>
      </c>
      <c r="J15" s="363">
        <f>+'FY22'!J15*(1+MYP!$I$8)</f>
        <v>0</v>
      </c>
      <c r="K15" s="363">
        <f>+'FY22'!K15*(1+MYP!$I$8)</f>
        <v>0</v>
      </c>
      <c r="L15" s="363">
        <f>+'FY22'!L15*(1+MYP!$I$8)</f>
        <v>0</v>
      </c>
      <c r="M15" s="363">
        <f>+'FY22'!M15*(1+MYP!$I$8)</f>
        <v>0</v>
      </c>
      <c r="N15" s="363">
        <f>+'FY22'!N15*(1+MYP!$I$8)</f>
        <v>0</v>
      </c>
      <c r="O15" s="363">
        <f>+'FY22'!O15*(1+MYP!$I$8)</f>
        <v>0</v>
      </c>
      <c r="P15" s="363">
        <f>+'FY22'!P15*(1+MYP!$I$8)</f>
        <v>0</v>
      </c>
      <c r="Q15" s="100"/>
      <c r="R15" s="41"/>
      <c r="S15" s="59">
        <f t="shared" si="2"/>
        <v>0</v>
      </c>
      <c r="T15" s="41"/>
      <c r="U15" s="39">
        <f>'FY22'!S15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200">
        <v>3200</v>
      </c>
      <c r="D16" s="37" t="s">
        <v>6</v>
      </c>
      <c r="E16" s="363">
        <f>+'FY22'!E16*(1+MYP!$I$8)</f>
        <v>0</v>
      </c>
      <c r="F16" s="363">
        <f>+'FY22'!F16*(1+MYP!$I$8)</f>
        <v>0</v>
      </c>
      <c r="G16" s="363">
        <f>+'FY22'!G16*(1+MYP!$I$8)</f>
        <v>0</v>
      </c>
      <c r="H16" s="363">
        <f>+'FY22'!H16*(1+MYP!$I$8)</f>
        <v>0</v>
      </c>
      <c r="I16" s="363">
        <f>+'FY22'!I16*(1+MYP!$I$8)</f>
        <v>0</v>
      </c>
      <c r="J16" s="363">
        <f>+'FY22'!J16*(1+MYP!$I$8)</f>
        <v>0</v>
      </c>
      <c r="K16" s="363">
        <f>+'FY22'!K16*(1+MYP!$I$8)</f>
        <v>0</v>
      </c>
      <c r="L16" s="363">
        <f>+'FY22'!L16*(1+MYP!$I$8)</f>
        <v>0</v>
      </c>
      <c r="M16" s="363">
        <f>+'FY22'!M16*(1+MYP!$I$8)</f>
        <v>0</v>
      </c>
      <c r="N16" s="363">
        <f>+'FY22'!N16*(1+MYP!$I$8)</f>
        <v>0</v>
      </c>
      <c r="O16" s="363">
        <f>+'FY22'!O16*(1+MYP!$I$8)</f>
        <v>0</v>
      </c>
      <c r="P16" s="363">
        <f>+'FY22'!P16*(1+MYP!$I$8)</f>
        <v>0</v>
      </c>
      <c r="Q16" s="100"/>
      <c r="R16" s="41"/>
      <c r="S16" s="59">
        <f t="shared" si="2"/>
        <v>0</v>
      </c>
      <c r="T16" s="41"/>
      <c r="U16" s="39">
        <f>'FY22'!S16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200">
        <v>4500</v>
      </c>
      <c r="D19" s="37" t="s">
        <v>6</v>
      </c>
      <c r="E19" s="363">
        <f>+'FY22'!E19*(1+MYP!$I$8)</f>
        <v>0</v>
      </c>
      <c r="F19" s="363">
        <f>+'FY22'!F19*(1+MYP!$I$8)</f>
        <v>0</v>
      </c>
      <c r="G19" s="363">
        <f>+'FY22'!G19*(1+MYP!$I$8)</f>
        <v>0</v>
      </c>
      <c r="H19" s="363">
        <f>+'FY22'!H19*(1+MYP!$I$8)</f>
        <v>0</v>
      </c>
      <c r="I19" s="363">
        <f>+'FY22'!I19*(1+MYP!$I$8)</f>
        <v>0</v>
      </c>
      <c r="J19" s="363">
        <f>+'FY22'!J19*(1+MYP!$I$8)</f>
        <v>0</v>
      </c>
      <c r="K19" s="363">
        <f>+'FY22'!K19*(1+MYP!$I$8)</f>
        <v>0</v>
      </c>
      <c r="L19" s="363">
        <f>+'FY22'!L19*(1+MYP!$I$8)</f>
        <v>0</v>
      </c>
      <c r="M19" s="363">
        <f>+'FY22'!M19*(1+MYP!$I$8)</f>
        <v>0</v>
      </c>
      <c r="N19" s="363">
        <f>+'FY22'!N19*(1+MYP!$I$8)</f>
        <v>0</v>
      </c>
      <c r="O19" s="363">
        <f>+'FY22'!O19*(1+MYP!$I$8)</f>
        <v>0</v>
      </c>
      <c r="P19" s="363">
        <f>+'FY22'!P19*(1+MYP!$I$8)</f>
        <v>0</v>
      </c>
      <c r="Q19" s="100"/>
      <c r="R19" s="41"/>
      <c r="S19" s="59">
        <f t="shared" si="2"/>
        <v>0</v>
      </c>
      <c r="T19" s="41"/>
      <c r="U19" s="39">
        <f>'FY22'!S19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200">
        <v>4571</v>
      </c>
      <c r="D20" s="37" t="s">
        <v>7</v>
      </c>
      <c r="E20" s="363">
        <f>+'FY22'!E20*(1+MYP!$I$8)</f>
        <v>0</v>
      </c>
      <c r="F20" s="363">
        <f>+'FY22'!F20*(1+MYP!$I$8)</f>
        <v>0</v>
      </c>
      <c r="G20" s="363">
        <f>+'FY22'!G20*(1+MYP!$I$8)</f>
        <v>0</v>
      </c>
      <c r="H20" s="363">
        <f>+'FY22'!H20*(1+MYP!$I$8)</f>
        <v>0</v>
      </c>
      <c r="I20" s="363">
        <f>+'FY22'!I20*(1+MYP!$I$8)</f>
        <v>0</v>
      </c>
      <c r="J20" s="363">
        <f>+'FY22'!J20*(1+MYP!$I$8)</f>
        <v>0</v>
      </c>
      <c r="K20" s="363">
        <f>+'FY22'!K20*(1+MYP!$I$8)</f>
        <v>0</v>
      </c>
      <c r="L20" s="363">
        <f>+'FY22'!L20*(1+MYP!$I$8)</f>
        <v>0</v>
      </c>
      <c r="M20" s="363">
        <f>+'FY22'!M20*(1+MYP!$I$8)</f>
        <v>0</v>
      </c>
      <c r="N20" s="363">
        <f>+'FY22'!N20*(1+MYP!$I$8)</f>
        <v>0</v>
      </c>
      <c r="O20" s="363">
        <f>+'FY22'!O20*(1+MYP!$I$8)</f>
        <v>0</v>
      </c>
      <c r="P20" s="363">
        <f>+'FY22'!P20*(1+MYP!$I$8)</f>
        <v>0</v>
      </c>
      <c r="Q20" s="100"/>
      <c r="R20" s="41"/>
      <c r="S20" s="62">
        <f t="shared" si="2"/>
        <v>0</v>
      </c>
      <c r="T20" s="41"/>
      <c r="U20" s="41">
        <f>'FY22'!S20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185</v>
      </c>
      <c r="E21" s="363">
        <f>+'FY22'!E21*(1+MYP!$I$8)</f>
        <v>0</v>
      </c>
      <c r="F21" s="363">
        <f>+'FY22'!F21*(1+MYP!$I$8)</f>
        <v>0</v>
      </c>
      <c r="G21" s="363">
        <f>+'FY22'!G21*(1+MYP!$I$8)</f>
        <v>0</v>
      </c>
      <c r="H21" s="363">
        <f>+'FY22'!H21*(1+MYP!$I$8)</f>
        <v>0</v>
      </c>
      <c r="I21" s="363">
        <f>+'FY22'!I21*(1+MYP!$I$8)</f>
        <v>0</v>
      </c>
      <c r="J21" s="363">
        <f>+'FY22'!J21*(1+MYP!$I$8)</f>
        <v>0</v>
      </c>
      <c r="K21" s="363">
        <f>+'FY22'!K21*(1+MYP!$I$8)</f>
        <v>0</v>
      </c>
      <c r="L21" s="363">
        <f>+'FY22'!L21*(1+MYP!$I$8)</f>
        <v>0</v>
      </c>
      <c r="M21" s="363">
        <f>+'FY22'!M21*(1+MYP!$I$8)</f>
        <v>0</v>
      </c>
      <c r="N21" s="363">
        <f>+'FY22'!N21*(1+MYP!$I$8)</f>
        <v>0</v>
      </c>
      <c r="O21" s="363">
        <f>+'FY22'!O21*(1+MYP!$I$8)</f>
        <v>0</v>
      </c>
      <c r="P21" s="363">
        <f>+'FY22'!P21*(1+MYP!$I$8)</f>
        <v>0</v>
      </c>
      <c r="Q21" s="100"/>
      <c r="R21" s="41"/>
      <c r="S21" s="62">
        <f t="shared" ref="S21" si="7">SUM(E21:Q21)</f>
        <v>0</v>
      </c>
      <c r="T21" s="41"/>
      <c r="U21" s="41">
        <f>'FY22'!S21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149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200">
        <v>1790</v>
      </c>
      <c r="D24" s="37" t="s">
        <v>4</v>
      </c>
      <c r="E24" s="363">
        <f>+'FY22'!E24*(1+MYP!$I$8)</f>
        <v>0</v>
      </c>
      <c r="F24" s="363">
        <f>+'FY22'!F24*(1+MYP!$I$8)</f>
        <v>0</v>
      </c>
      <c r="G24" s="363">
        <f>+'FY22'!G24*(1+MYP!$I$8)</f>
        <v>0</v>
      </c>
      <c r="H24" s="363">
        <f>+'FY22'!H24*(1+MYP!$I$8)</f>
        <v>0</v>
      </c>
      <c r="I24" s="363">
        <f>+'FY22'!I24*(1+MYP!$I$8)</f>
        <v>0</v>
      </c>
      <c r="J24" s="363">
        <f>+'FY22'!J24*(1+MYP!$I$8)</f>
        <v>0</v>
      </c>
      <c r="K24" s="363">
        <f>+'FY22'!K24*(1+MYP!$I$8)</f>
        <v>0</v>
      </c>
      <c r="L24" s="363">
        <f>+'FY22'!L24*(1+MYP!$I$8)</f>
        <v>0</v>
      </c>
      <c r="M24" s="363">
        <f>+'FY22'!M24*(1+MYP!$I$8)</f>
        <v>0</v>
      </c>
      <c r="N24" s="363">
        <f>+'FY22'!N24*(1+MYP!$I$8)</f>
        <v>0</v>
      </c>
      <c r="O24" s="363">
        <f>+'FY22'!O24*(1+MYP!$I$8)</f>
        <v>0</v>
      </c>
      <c r="P24" s="363">
        <f>+'FY22'!P24*(1+MYP!$I$8)</f>
        <v>0</v>
      </c>
      <c r="Q24" s="100"/>
      <c r="R24" s="41"/>
      <c r="S24" s="59">
        <f>SUM(E24:Q24)</f>
        <v>0</v>
      </c>
      <c r="T24" s="41"/>
      <c r="U24" s="39">
        <f>'FY22'!S24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122642.1</v>
      </c>
      <c r="F27" s="43">
        <f t="shared" si="13"/>
        <v>122642.1</v>
      </c>
      <c r="G27" s="43">
        <f t="shared" si="13"/>
        <v>122642.1</v>
      </c>
      <c r="H27" s="43">
        <f t="shared" si="13"/>
        <v>122642.1</v>
      </c>
      <c r="I27" s="43">
        <f t="shared" si="13"/>
        <v>122642.1</v>
      </c>
      <c r="J27" s="43">
        <f t="shared" si="13"/>
        <v>122642.1</v>
      </c>
      <c r="K27" s="43">
        <f t="shared" si="13"/>
        <v>122642.1</v>
      </c>
      <c r="L27" s="43">
        <f t="shared" si="13"/>
        <v>122642.1</v>
      </c>
      <c r="M27" s="43">
        <f t="shared" si="13"/>
        <v>122642.1</v>
      </c>
      <c r="N27" s="43">
        <f t="shared" si="13"/>
        <v>122642.1</v>
      </c>
      <c r="O27" s="43">
        <f t="shared" si="13"/>
        <v>122642.1</v>
      </c>
      <c r="P27" s="43">
        <f t="shared" si="13"/>
        <v>122637.19431600002</v>
      </c>
      <c r="Q27" s="197"/>
      <c r="R27" s="48"/>
      <c r="S27" s="60">
        <f>SUBTOTAL(9,S8:S26)</f>
        <v>1471700.2943159998</v>
      </c>
      <c r="T27" s="48"/>
      <c r="U27" s="43">
        <f>SUBTOTAL(9,U8:U26)</f>
        <v>1428835.2371999999</v>
      </c>
      <c r="V27" s="43">
        <f>SUBTOTAL(9,V8:V26)</f>
        <v>42865.057116000069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200">
        <v>6111</v>
      </c>
      <c r="D31" s="37" t="s">
        <v>191</v>
      </c>
      <c r="E31" s="39">
        <f>+'FY22'!E31*(1+MYP!$I$9)</f>
        <v>9488.6703855000014</v>
      </c>
      <c r="F31" s="39">
        <f>+'FY22'!F31*(1+MYP!$I$9)</f>
        <v>9488.6703855000014</v>
      </c>
      <c r="G31" s="39">
        <f>+'FY22'!G31*(1+MYP!$I$9)</f>
        <v>9488.6703855000014</v>
      </c>
      <c r="H31" s="39">
        <f>+'FY22'!H31*(1+MYP!$I$9)</f>
        <v>9488.6703855000014</v>
      </c>
      <c r="I31" s="39">
        <f>+'FY22'!I31*(1+MYP!$I$9)</f>
        <v>9488.6703855000014</v>
      </c>
      <c r="J31" s="39">
        <f>+'FY22'!J31*(1+MYP!$I$9)</f>
        <v>9488.6703855000014</v>
      </c>
      <c r="K31" s="39">
        <f>+'FY22'!K31*(1+MYP!$I$9)</f>
        <v>9488.6703855000014</v>
      </c>
      <c r="L31" s="39">
        <f>+'FY22'!L31*(1+MYP!$I$9)</f>
        <v>9488.6703855000014</v>
      </c>
      <c r="M31" s="39">
        <f>+'FY22'!M31*(1+MYP!$I$9)</f>
        <v>9488.6703855000014</v>
      </c>
      <c r="N31" s="39">
        <f>+'FY22'!N31*(1+MYP!$I$9)</f>
        <v>9488.6703855000014</v>
      </c>
      <c r="O31" s="39">
        <f>+'FY22'!O31*(1+MYP!$I$9)</f>
        <v>9488.6703855000014</v>
      </c>
      <c r="P31" s="39">
        <f>+'FY22'!P31*(1+MYP!$I$9)</f>
        <v>9488.6703855000014</v>
      </c>
      <c r="Q31" s="100"/>
      <c r="R31" s="41"/>
      <c r="S31" s="59">
        <f t="shared" ref="S31:S40" si="14">SUM(E31:Q31)</f>
        <v>113864.04462600005</v>
      </c>
      <c r="T31" s="41"/>
      <c r="U31" s="39">
        <f>'FY22'!S31</f>
        <v>111631.41630000003</v>
      </c>
      <c r="V31" s="39">
        <f>U31-S31</f>
        <v>-2232.62832600002</v>
      </c>
      <c r="W31" s="39"/>
    </row>
    <row r="32" spans="1:23" s="37" customFormat="1" ht="12" x14ac:dyDescent="0.2">
      <c r="C32" s="200">
        <v>6114</v>
      </c>
      <c r="D32" s="37" t="s">
        <v>192</v>
      </c>
      <c r="E32" s="39">
        <f>+'FY22'!E32*(1+MYP!$I$9)</f>
        <v>8529.6543750000001</v>
      </c>
      <c r="F32" s="39">
        <f>+'FY22'!F32*(1+MYP!$I$9)</f>
        <v>8529.6543750000001</v>
      </c>
      <c r="G32" s="39">
        <f>+'FY22'!G32*(1+MYP!$I$9)</f>
        <v>8529.6543750000001</v>
      </c>
      <c r="H32" s="39">
        <f>+'FY22'!H32*(1+MYP!$I$9)</f>
        <v>8529.6543750000001</v>
      </c>
      <c r="I32" s="39">
        <f>+'FY22'!I32*(1+MYP!$I$9)</f>
        <v>8529.6543750000001</v>
      </c>
      <c r="J32" s="39">
        <f>+'FY22'!J32*(1+MYP!$I$9)</f>
        <v>8529.6543750000001</v>
      </c>
      <c r="K32" s="39">
        <f>+'FY22'!K32*(1+MYP!$I$9)</f>
        <v>8529.6543750000001</v>
      </c>
      <c r="L32" s="39">
        <f>+'FY22'!L32*(1+MYP!$I$9)</f>
        <v>8529.6543750000001</v>
      </c>
      <c r="M32" s="39">
        <f>+'FY22'!M32*(1+MYP!$I$9)</f>
        <v>8529.6543750000001</v>
      </c>
      <c r="N32" s="39">
        <f>+'FY22'!N32*(1+MYP!$I$9)</f>
        <v>8529.6543750000001</v>
      </c>
      <c r="O32" s="39">
        <f>+'FY22'!O32*(1+MYP!$I$9)</f>
        <v>8529.6543750000001</v>
      </c>
      <c r="P32" s="39">
        <f>+'FY22'!P32*(1+MYP!$I$9)</f>
        <v>8529.6543750000001</v>
      </c>
      <c r="Q32" s="100"/>
      <c r="R32" s="41"/>
      <c r="S32" s="59">
        <f t="shared" si="14"/>
        <v>102355.85249999999</v>
      </c>
      <c r="T32" s="41"/>
      <c r="U32" s="39">
        <f>'FY22'!S32</f>
        <v>100348.875</v>
      </c>
      <c r="V32" s="39">
        <f t="shared" ref="V32:V40" si="15">U32-S32</f>
        <v>-2006.9774999999936</v>
      </c>
      <c r="W32" s="39"/>
    </row>
    <row r="33" spans="3:23" s="37" customFormat="1" ht="12" x14ac:dyDescent="0.2">
      <c r="C33" s="200">
        <v>6117</v>
      </c>
      <c r="D33" s="37" t="s">
        <v>228</v>
      </c>
      <c r="E33" s="39">
        <f>+'FY22'!E33*(1+MYP!$I$9)</f>
        <v>3995.229636</v>
      </c>
      <c r="F33" s="39">
        <f>+'FY22'!F33*(1+MYP!$I$9)</f>
        <v>3995.229636</v>
      </c>
      <c r="G33" s="39">
        <f>+'FY22'!G33*(1+MYP!$I$9)</f>
        <v>3995.229636</v>
      </c>
      <c r="H33" s="39">
        <f>+'FY22'!H33*(1+MYP!$I$9)</f>
        <v>3995.229636</v>
      </c>
      <c r="I33" s="39">
        <f>+'FY22'!I33*(1+MYP!$I$9)</f>
        <v>3995.229636</v>
      </c>
      <c r="J33" s="39">
        <f>+'FY22'!J33*(1+MYP!$I$9)</f>
        <v>3995.229636</v>
      </c>
      <c r="K33" s="39">
        <f>+'FY22'!K33*(1+MYP!$I$9)</f>
        <v>3995.229636</v>
      </c>
      <c r="L33" s="39">
        <f>+'FY22'!L33*(1+MYP!$I$9)</f>
        <v>3995.229636</v>
      </c>
      <c r="M33" s="39">
        <f>+'FY22'!M33*(1+MYP!$I$9)</f>
        <v>3995.229636</v>
      </c>
      <c r="N33" s="39">
        <f>+'FY22'!N33*(1+MYP!$I$9)</f>
        <v>3995.229636</v>
      </c>
      <c r="O33" s="39">
        <f>+'FY22'!O33*(1+MYP!$I$9)</f>
        <v>3995.229636</v>
      </c>
      <c r="P33" s="39">
        <f>+'FY22'!P33*(1+MYP!$I$9)</f>
        <v>3995.229636</v>
      </c>
      <c r="Q33" s="100"/>
      <c r="R33" s="41"/>
      <c r="S33" s="59">
        <f t="shared" si="14"/>
        <v>47942.755632000015</v>
      </c>
      <c r="T33" s="41"/>
      <c r="U33" s="39">
        <f>'FY22'!S33</f>
        <v>47002.701599999993</v>
      </c>
      <c r="V33" s="39">
        <f t="shared" si="15"/>
        <v>-940.05403200002183</v>
      </c>
      <c r="W33" s="39"/>
    </row>
    <row r="34" spans="3:23" s="37" customFormat="1" ht="12" x14ac:dyDescent="0.2">
      <c r="C34" s="200">
        <v>6127</v>
      </c>
      <c r="D34" s="37" t="s">
        <v>229</v>
      </c>
      <c r="E34" s="39">
        <f>+'FY22'!E34*(1+MYP!$I$9)</f>
        <v>3426.3840000000005</v>
      </c>
      <c r="F34" s="39">
        <f>+'FY22'!F34*(1+MYP!$I$9)</f>
        <v>3426.3840000000005</v>
      </c>
      <c r="G34" s="39">
        <f>+'FY22'!G34*(1+MYP!$I$9)</f>
        <v>3426.3840000000005</v>
      </c>
      <c r="H34" s="39">
        <f>+'FY22'!H34*(1+MYP!$I$9)</f>
        <v>3426.3840000000005</v>
      </c>
      <c r="I34" s="39">
        <f>+'FY22'!I34*(1+MYP!$I$9)</f>
        <v>3426.3840000000005</v>
      </c>
      <c r="J34" s="39">
        <f>+'FY22'!J34*(1+MYP!$I$9)</f>
        <v>3426.3840000000005</v>
      </c>
      <c r="K34" s="39">
        <f>+'FY22'!K34*(1+MYP!$I$9)</f>
        <v>3426.3840000000005</v>
      </c>
      <c r="L34" s="39">
        <f>+'FY22'!L34*(1+MYP!$I$9)</f>
        <v>3426.3840000000005</v>
      </c>
      <c r="M34" s="39">
        <f>+'FY22'!M34*(1+MYP!$I$9)</f>
        <v>3426.3840000000005</v>
      </c>
      <c r="N34" s="39">
        <f>+'FY22'!N34*(1+MYP!$I$9)</f>
        <v>3426.3840000000005</v>
      </c>
      <c r="O34" s="39">
        <f>+'FY22'!O34*(1+MYP!$I$9)</f>
        <v>3426.3840000000005</v>
      </c>
      <c r="P34" s="39">
        <f>+'FY22'!P34*(1+MYP!$I$9)</f>
        <v>3426.3840000000005</v>
      </c>
      <c r="Q34" s="100"/>
      <c r="R34" s="41"/>
      <c r="S34" s="59">
        <f t="shared" si="14"/>
        <v>41116.608000000007</v>
      </c>
      <c r="T34" s="41"/>
      <c r="U34" s="39">
        <f>'FY22'!S34</f>
        <v>40310.399999999994</v>
      </c>
      <c r="V34" s="39">
        <f t="shared" si="15"/>
        <v>-806.20800000001327</v>
      </c>
      <c r="W34" s="39"/>
    </row>
    <row r="35" spans="3:23" s="37" customFormat="1" ht="12" x14ac:dyDescent="0.2">
      <c r="C35" s="200">
        <v>6151</v>
      </c>
      <c r="D35" s="37" t="s">
        <v>189</v>
      </c>
      <c r="E35" s="39">
        <f>+'FY22'!E35*(1+MYP!$I$9)</f>
        <v>0</v>
      </c>
      <c r="F35" s="39">
        <f>+'FY22'!F35*(1+MYP!$I$9)</f>
        <v>0</v>
      </c>
      <c r="G35" s="39">
        <f>+'FY22'!G35*(1+MYP!$I$9)</f>
        <v>1560.6000000000001</v>
      </c>
      <c r="H35" s="39">
        <f>+'FY22'!H35*(1+MYP!$I$9)</f>
        <v>1560.6000000000001</v>
      </c>
      <c r="I35" s="39">
        <f>+'FY22'!I35*(1+MYP!$I$9)</f>
        <v>0</v>
      </c>
      <c r="J35" s="39">
        <f>+'FY22'!J35*(1+MYP!$I$9)</f>
        <v>0</v>
      </c>
      <c r="K35" s="39">
        <f>+'FY22'!K35*(1+MYP!$I$9)</f>
        <v>0</v>
      </c>
      <c r="L35" s="39">
        <f>+'FY22'!L35*(1+MYP!$I$9)</f>
        <v>1560.6000000000001</v>
      </c>
      <c r="M35" s="39">
        <f>+'FY22'!M35*(1+MYP!$I$9)</f>
        <v>1560.6000000000001</v>
      </c>
      <c r="N35" s="39">
        <f>+'FY22'!N35*(1+MYP!$I$9)</f>
        <v>0</v>
      </c>
      <c r="O35" s="39">
        <f>+'FY22'!O35*(1+MYP!$I$9)</f>
        <v>0</v>
      </c>
      <c r="P35" s="39">
        <f>+'FY22'!P35*(1+MYP!$I$9)</f>
        <v>0</v>
      </c>
      <c r="Q35" s="100"/>
      <c r="R35" s="41"/>
      <c r="S35" s="59">
        <f t="shared" si="14"/>
        <v>6242.4000000000005</v>
      </c>
      <c r="T35" s="41"/>
      <c r="U35" s="39">
        <f>'FY22'!S35</f>
        <v>6120</v>
      </c>
      <c r="V35" s="39">
        <f t="shared" si="15"/>
        <v>-122.40000000000055</v>
      </c>
      <c r="W35" s="39"/>
    </row>
    <row r="36" spans="3:23" s="37" customFormat="1" ht="12" x14ac:dyDescent="0.2">
      <c r="C36" s="200">
        <v>6154</v>
      </c>
      <c r="D36" s="37" t="s">
        <v>190</v>
      </c>
      <c r="E36" s="39">
        <f>+'FY22'!E36*(1+MYP!$I$9)</f>
        <v>0</v>
      </c>
      <c r="F36" s="39">
        <f>+'FY22'!F36*(1+MYP!$I$9)</f>
        <v>0</v>
      </c>
      <c r="G36" s="39">
        <f>+'FY22'!G36*(1+MYP!$I$9)</f>
        <v>966.53160000000003</v>
      </c>
      <c r="H36" s="39">
        <f>+'FY22'!H36*(1+MYP!$I$9)</f>
        <v>0</v>
      </c>
      <c r="I36" s="39">
        <f>+'FY22'!I36*(1+MYP!$I$9)</f>
        <v>966.53160000000003</v>
      </c>
      <c r="J36" s="39">
        <f>+'FY22'!J36*(1+MYP!$I$9)</f>
        <v>0</v>
      </c>
      <c r="K36" s="39">
        <f>+'FY22'!K36*(1+MYP!$I$9)</f>
        <v>966.53160000000003</v>
      </c>
      <c r="L36" s="39">
        <f>+'FY22'!L36*(1+MYP!$I$9)</f>
        <v>0</v>
      </c>
      <c r="M36" s="39">
        <f>+'FY22'!M36*(1+MYP!$I$9)</f>
        <v>966.53160000000003</v>
      </c>
      <c r="N36" s="39">
        <f>+'FY22'!N36*(1+MYP!$I$9)</f>
        <v>966.53160000000003</v>
      </c>
      <c r="O36" s="39">
        <f>+'FY22'!O36*(1+MYP!$I$9)</f>
        <v>0</v>
      </c>
      <c r="P36" s="39">
        <f>+'FY22'!P36*(1+MYP!$I$9)</f>
        <v>2340.9</v>
      </c>
      <c r="Q36" s="100"/>
      <c r="R36" s="41"/>
      <c r="S36" s="59">
        <f t="shared" si="14"/>
        <v>7173.5580000000009</v>
      </c>
      <c r="T36" s="41"/>
      <c r="U36" s="39">
        <f>'FY22'!S36</f>
        <v>7032.9000000000005</v>
      </c>
      <c r="V36" s="39">
        <f t="shared" si="15"/>
        <v>-140.65800000000036</v>
      </c>
      <c r="W36" s="39"/>
    </row>
    <row r="37" spans="3:23" s="37" customFormat="1" ht="12" x14ac:dyDescent="0.2">
      <c r="C37" s="200">
        <v>6157</v>
      </c>
      <c r="D37" s="37" t="s">
        <v>230</v>
      </c>
      <c r="E37" s="39">
        <f>+'FY22'!E37*(1+MYP!$I$9)</f>
        <v>0</v>
      </c>
      <c r="F37" s="39">
        <f>+'FY22'!F37*(1+MYP!$I$9)</f>
        <v>0</v>
      </c>
      <c r="G37" s="39">
        <f>+'FY22'!G37*(1+MYP!$I$9)</f>
        <v>780.30000000000007</v>
      </c>
      <c r="H37" s="39">
        <f>+'FY22'!H37*(1+MYP!$I$9)</f>
        <v>780.30000000000007</v>
      </c>
      <c r="I37" s="39">
        <f>+'FY22'!I37*(1+MYP!$I$9)</f>
        <v>0</v>
      </c>
      <c r="J37" s="39">
        <f>+'FY22'!J37*(1+MYP!$I$9)</f>
        <v>0</v>
      </c>
      <c r="K37" s="39">
        <f>+'FY22'!K37*(1+MYP!$I$9)</f>
        <v>0</v>
      </c>
      <c r="L37" s="39">
        <f>+'FY22'!L37*(1+MYP!$I$9)</f>
        <v>780.30000000000007</v>
      </c>
      <c r="M37" s="39">
        <f>+'FY22'!M37*(1+MYP!$I$9)</f>
        <v>780.30000000000007</v>
      </c>
      <c r="N37" s="39">
        <f>+'FY22'!N37*(1+MYP!$I$9)</f>
        <v>0</v>
      </c>
      <c r="O37" s="39">
        <f>+'FY22'!O37*(1+MYP!$I$9)</f>
        <v>0</v>
      </c>
      <c r="P37" s="39">
        <f>+'FY22'!P37*(1+MYP!$I$9)</f>
        <v>0</v>
      </c>
      <c r="Q37" s="100"/>
      <c r="R37" s="41"/>
      <c r="S37" s="59">
        <f t="shared" si="14"/>
        <v>3121.2000000000003</v>
      </c>
      <c r="T37" s="41"/>
      <c r="U37" s="39">
        <f>'FY22'!S37</f>
        <v>3060</v>
      </c>
      <c r="V37" s="39">
        <f t="shared" si="15"/>
        <v>-61.200000000000273</v>
      </c>
      <c r="W37" s="39"/>
    </row>
    <row r="38" spans="3:23" s="37" customFormat="1" ht="12" x14ac:dyDescent="0.2">
      <c r="C38" s="200">
        <v>6161</v>
      </c>
      <c r="D38" s="37" t="s">
        <v>97</v>
      </c>
      <c r="E38" s="39">
        <f>+'FY22'!E38*(1+MYP!$I$9)</f>
        <v>0</v>
      </c>
      <c r="F38" s="39">
        <f>+'FY22'!F38*(1+MYP!$I$9)</f>
        <v>0</v>
      </c>
      <c r="G38" s="39">
        <f>+'FY22'!G38*(1+MYP!$I$9)</f>
        <v>0</v>
      </c>
      <c r="H38" s="39">
        <f>+'FY22'!H38*(1+MYP!$I$9)</f>
        <v>312.12</v>
      </c>
      <c r="I38" s="39">
        <f>+'FY22'!I38*(1+MYP!$I$9)</f>
        <v>312.12</v>
      </c>
      <c r="J38" s="39">
        <f>+'FY22'!J38*(1+MYP!$I$9)</f>
        <v>312.12</v>
      </c>
      <c r="K38" s="39">
        <f>+'FY22'!K38*(1+MYP!$I$9)</f>
        <v>312.12</v>
      </c>
      <c r="L38" s="39">
        <f>+'FY22'!L38*(1+MYP!$I$9)</f>
        <v>0</v>
      </c>
      <c r="M38" s="39">
        <f>+'FY22'!M38*(1+MYP!$I$9)</f>
        <v>0</v>
      </c>
      <c r="N38" s="39">
        <f>+'FY22'!N38*(1+MYP!$I$9)</f>
        <v>0</v>
      </c>
      <c r="O38" s="39">
        <f>+'FY22'!O38*(1+MYP!$I$9)</f>
        <v>0</v>
      </c>
      <c r="P38" s="39">
        <f>+'FY22'!P38*(1+MYP!$I$9)</f>
        <v>0</v>
      </c>
      <c r="Q38" s="100"/>
      <c r="R38" s="41"/>
      <c r="S38" s="59">
        <f t="shared" si="14"/>
        <v>1248.48</v>
      </c>
      <c r="T38" s="41"/>
      <c r="U38" s="39">
        <f>'FY22'!S38</f>
        <v>1224</v>
      </c>
      <c r="V38" s="39">
        <f t="shared" si="15"/>
        <v>-24.480000000000018</v>
      </c>
      <c r="W38" s="39"/>
    </row>
    <row r="39" spans="3:23" s="37" customFormat="1" ht="12" x14ac:dyDescent="0.2">
      <c r="C39" s="200">
        <v>6164</v>
      </c>
      <c r="D39" s="37" t="s">
        <v>98</v>
      </c>
      <c r="E39" s="39">
        <f>+'FY22'!E39*(1+MYP!$I$9)</f>
        <v>0</v>
      </c>
      <c r="F39" s="39">
        <f>+'FY22'!F39*(1+MYP!$I$9)</f>
        <v>0</v>
      </c>
      <c r="G39" s="39">
        <f>+'FY22'!G39*(1+MYP!$I$9)</f>
        <v>0</v>
      </c>
      <c r="H39" s="39">
        <f>+'FY22'!H39*(1+MYP!$I$9)</f>
        <v>260.10000000000002</v>
      </c>
      <c r="I39" s="39">
        <f>+'FY22'!I39*(1+MYP!$I$9)</f>
        <v>260.10000000000002</v>
      </c>
      <c r="J39" s="39">
        <f>+'FY22'!J39*(1+MYP!$I$9)</f>
        <v>260.10000000000002</v>
      </c>
      <c r="K39" s="39">
        <f>+'FY22'!K39*(1+MYP!$I$9)</f>
        <v>260.10000000000002</v>
      </c>
      <c r="L39" s="39">
        <f>+'FY22'!L39*(1+MYP!$I$9)</f>
        <v>0</v>
      </c>
      <c r="M39" s="39">
        <f>+'FY22'!M39*(1+MYP!$I$9)</f>
        <v>0</v>
      </c>
      <c r="N39" s="39">
        <f>+'FY22'!N39*(1+MYP!$I$9)</f>
        <v>0</v>
      </c>
      <c r="O39" s="39">
        <f>+'FY22'!O39*(1+MYP!$I$9)</f>
        <v>0</v>
      </c>
      <c r="P39" s="39">
        <f>+'FY22'!P39*(1+MYP!$I$9)</f>
        <v>0</v>
      </c>
      <c r="Q39" s="100"/>
      <c r="R39" s="41"/>
      <c r="S39" s="59">
        <f t="shared" si="14"/>
        <v>1040.4000000000001</v>
      </c>
      <c r="T39" s="41"/>
      <c r="U39" s="39">
        <f>'FY22'!S39</f>
        <v>1020</v>
      </c>
      <c r="V39" s="39">
        <f t="shared" si="15"/>
        <v>-20.400000000000091</v>
      </c>
      <c r="W39" s="39"/>
    </row>
    <row r="40" spans="3:23" s="37" customFormat="1" ht="12" x14ac:dyDescent="0.2">
      <c r="C40" s="200">
        <v>6167</v>
      </c>
      <c r="D40" s="37" t="s">
        <v>231</v>
      </c>
      <c r="E40" s="39">
        <f>+'FY22'!E40*(1+MYP!$I$9)</f>
        <v>0</v>
      </c>
      <c r="F40" s="39">
        <f>+'FY22'!F40*(1+MYP!$I$9)</f>
        <v>0</v>
      </c>
      <c r="G40" s="39">
        <f>+'FY22'!G40*(1+MYP!$I$9)</f>
        <v>0</v>
      </c>
      <c r="H40" s="39">
        <f>+'FY22'!H40*(1+MYP!$I$9)</f>
        <v>156.06</v>
      </c>
      <c r="I40" s="39">
        <f>+'FY22'!I40*(1+MYP!$I$9)</f>
        <v>156.06</v>
      </c>
      <c r="J40" s="39">
        <f>+'FY22'!J40*(1+MYP!$I$9)</f>
        <v>156.06</v>
      </c>
      <c r="K40" s="39">
        <f>+'FY22'!K40*(1+MYP!$I$9)</f>
        <v>156.06</v>
      </c>
      <c r="L40" s="39">
        <f>+'FY22'!L40*(1+MYP!$I$9)</f>
        <v>0</v>
      </c>
      <c r="M40" s="39">
        <f>+'FY22'!M40*(1+MYP!$I$9)</f>
        <v>0</v>
      </c>
      <c r="N40" s="39">
        <f>+'FY22'!N40*(1+MYP!$I$9)</f>
        <v>0</v>
      </c>
      <c r="O40" s="39">
        <f>+'FY22'!O40*(1+MYP!$I$9)</f>
        <v>0</v>
      </c>
      <c r="P40" s="39">
        <f>+'FY22'!P40*(1+MYP!$I$9)</f>
        <v>0</v>
      </c>
      <c r="Q40" s="100"/>
      <c r="R40" s="41"/>
      <c r="S40" s="59">
        <f t="shared" si="14"/>
        <v>624.24</v>
      </c>
      <c r="T40" s="41"/>
      <c r="U40" s="39">
        <f>'FY22'!S40</f>
        <v>612</v>
      </c>
      <c r="V40" s="39">
        <f t="shared" si="15"/>
        <v>-12.240000000000009</v>
      </c>
      <c r="W40" s="39"/>
    </row>
    <row r="41" spans="3:23" s="37" customFormat="1" ht="12" x14ac:dyDescent="0.2">
      <c r="C41" s="38"/>
      <c r="E41" s="50">
        <f t="shared" ref="E41:P41" si="16">SUBTOTAL(9,E31:E40)</f>
        <v>25439.938396500002</v>
      </c>
      <c r="F41" s="50">
        <f t="shared" si="16"/>
        <v>25439.938396500002</v>
      </c>
      <c r="G41" s="50">
        <f t="shared" si="16"/>
        <v>28747.369996499998</v>
      </c>
      <c r="H41" s="50">
        <f t="shared" si="16"/>
        <v>28509.118396499998</v>
      </c>
      <c r="I41" s="50">
        <f t="shared" si="16"/>
        <v>27134.749996499999</v>
      </c>
      <c r="J41" s="50">
        <f t="shared" si="16"/>
        <v>26168.2183965</v>
      </c>
      <c r="K41" s="50">
        <f t="shared" si="16"/>
        <v>27134.749996499999</v>
      </c>
      <c r="L41" s="50">
        <f t="shared" si="16"/>
        <v>27780.838396499999</v>
      </c>
      <c r="M41" s="50">
        <f t="shared" si="16"/>
        <v>28747.369996499998</v>
      </c>
      <c r="N41" s="50">
        <f t="shared" si="16"/>
        <v>26406.4699965</v>
      </c>
      <c r="O41" s="50">
        <f t="shared" si="16"/>
        <v>25439.938396500002</v>
      </c>
      <c r="P41" s="50">
        <f t="shared" si="16"/>
        <v>27780.838396500003</v>
      </c>
      <c r="Q41" s="51"/>
      <c r="R41" s="41"/>
      <c r="S41" s="61">
        <f>SUBTOTAL(9,S31:S40)</f>
        <v>324729.53875800013</v>
      </c>
      <c r="T41" s="41"/>
      <c r="U41" s="50">
        <f>SUBTOTAL(9,U31:U40)</f>
        <v>318362.29290000006</v>
      </c>
      <c r="V41" s="50">
        <f>SUBTOTAL(9,V31:V40)</f>
        <v>-6367.2458580000493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200">
        <v>6211</v>
      </c>
      <c r="D43" s="37" t="s">
        <v>198</v>
      </c>
      <c r="E43" s="39">
        <f>+'FY22'!E43*(1+MYP!$I$9)</f>
        <v>76.98960000000001</v>
      </c>
      <c r="F43" s="39">
        <f>+'FY22'!F43*(1+MYP!$I$9)</f>
        <v>76.98960000000001</v>
      </c>
      <c r="G43" s="39">
        <f>+'FY22'!G43*(1+MYP!$I$9)</f>
        <v>76.98960000000001</v>
      </c>
      <c r="H43" s="39">
        <f>+'FY22'!H43*(1+MYP!$I$9)</f>
        <v>76.98960000000001</v>
      </c>
      <c r="I43" s="39">
        <f>+'FY22'!I43*(1+MYP!$I$9)</f>
        <v>76.98960000000001</v>
      </c>
      <c r="J43" s="39">
        <f>+'FY22'!J43*(1+MYP!$I$9)</f>
        <v>76.98960000000001</v>
      </c>
      <c r="K43" s="39">
        <f>+'FY22'!K43*(1+MYP!$I$9)</f>
        <v>76.98960000000001</v>
      </c>
      <c r="L43" s="39">
        <f>+'FY22'!L43*(1+MYP!$I$9)</f>
        <v>76.98960000000001</v>
      </c>
      <c r="M43" s="39">
        <f>+'FY22'!M43*(1+MYP!$I$9)</f>
        <v>76.98960000000001</v>
      </c>
      <c r="N43" s="39">
        <f>+'FY22'!N43*(1+MYP!$I$9)</f>
        <v>76.98960000000001</v>
      </c>
      <c r="O43" s="39">
        <f>+'FY22'!O43*(1+MYP!$I$9)</f>
        <v>76.98960000000001</v>
      </c>
      <c r="P43" s="39">
        <f>+'FY22'!P43*(1+MYP!$I$9)</f>
        <v>76.98960000000001</v>
      </c>
      <c r="Q43" s="36"/>
      <c r="R43" s="41"/>
      <c r="S43" s="59">
        <f t="shared" ref="S43:S61" si="17">SUM(E43:Q43)</f>
        <v>923.87520000000006</v>
      </c>
      <c r="T43" s="41"/>
      <c r="U43" s="39">
        <f>'FY22'!S43</f>
        <v>905.7600000000001</v>
      </c>
      <c r="V43" s="39">
        <f t="shared" ref="V43:V61" si="18">U43-S43</f>
        <v>-18.115199999999959</v>
      </c>
      <c r="W43" s="39"/>
    </row>
    <row r="44" spans="3:23" s="37" customFormat="1" ht="12" x14ac:dyDescent="0.2">
      <c r="C44" s="200">
        <v>6214</v>
      </c>
      <c r="D44" s="37" t="s">
        <v>199</v>
      </c>
      <c r="E44" s="39">
        <f>+'FY22'!E44*(1+MYP!$I$9)</f>
        <v>38.494800000000005</v>
      </c>
      <c r="F44" s="39">
        <f>+'FY22'!F44*(1+MYP!$I$9)</f>
        <v>38.494800000000005</v>
      </c>
      <c r="G44" s="39">
        <f>+'FY22'!G44*(1+MYP!$I$9)</f>
        <v>38.494800000000005</v>
      </c>
      <c r="H44" s="39">
        <f>+'FY22'!H44*(1+MYP!$I$9)</f>
        <v>38.494800000000005</v>
      </c>
      <c r="I44" s="39">
        <f>+'FY22'!I44*(1+MYP!$I$9)</f>
        <v>38.494800000000005</v>
      </c>
      <c r="J44" s="39">
        <f>+'FY22'!J44*(1+MYP!$I$9)</f>
        <v>38.494800000000005</v>
      </c>
      <c r="K44" s="39">
        <f>+'FY22'!K44*(1+MYP!$I$9)</f>
        <v>38.494800000000005</v>
      </c>
      <c r="L44" s="39">
        <f>+'FY22'!L44*(1+MYP!$I$9)</f>
        <v>38.494800000000005</v>
      </c>
      <c r="M44" s="39">
        <f>+'FY22'!M44*(1+MYP!$I$9)</f>
        <v>38.494800000000005</v>
      </c>
      <c r="N44" s="39">
        <f>+'FY22'!N44*(1+MYP!$I$9)</f>
        <v>38.494800000000005</v>
      </c>
      <c r="O44" s="39">
        <f>+'FY22'!O44*(1+MYP!$I$9)</f>
        <v>38.494800000000005</v>
      </c>
      <c r="P44" s="39">
        <f>+'FY22'!P44*(1+MYP!$I$9)</f>
        <v>38.494800000000005</v>
      </c>
      <c r="Q44" s="36"/>
      <c r="R44" s="41"/>
      <c r="S44" s="59">
        <f t="shared" si="17"/>
        <v>461.93760000000003</v>
      </c>
      <c r="T44" s="41"/>
      <c r="U44" s="39">
        <f>'FY22'!S44</f>
        <v>452.88000000000005</v>
      </c>
      <c r="V44" s="39">
        <f t="shared" si="18"/>
        <v>-9.0575999999999794</v>
      </c>
      <c r="W44" s="39"/>
    </row>
    <row r="45" spans="3:23" s="37" customFormat="1" ht="12" x14ac:dyDescent="0.2">
      <c r="C45" s="200">
        <v>6217</v>
      </c>
      <c r="D45" s="37" t="s">
        <v>222</v>
      </c>
      <c r="E45" s="39">
        <f>+'FY22'!E45*(1+MYP!$I$9)</f>
        <v>38.494800000000005</v>
      </c>
      <c r="F45" s="39">
        <f>+'FY22'!F45*(1+MYP!$I$9)</f>
        <v>38.494800000000005</v>
      </c>
      <c r="G45" s="39">
        <f>+'FY22'!G45*(1+MYP!$I$9)</f>
        <v>38.494800000000005</v>
      </c>
      <c r="H45" s="39">
        <f>+'FY22'!H45*(1+MYP!$I$9)</f>
        <v>38.494800000000005</v>
      </c>
      <c r="I45" s="39">
        <f>+'FY22'!I45*(1+MYP!$I$9)</f>
        <v>38.494800000000005</v>
      </c>
      <c r="J45" s="39">
        <f>+'FY22'!J45*(1+MYP!$I$9)</f>
        <v>38.494800000000005</v>
      </c>
      <c r="K45" s="39">
        <f>+'FY22'!K45*(1+MYP!$I$9)</f>
        <v>38.494800000000005</v>
      </c>
      <c r="L45" s="39">
        <f>+'FY22'!L45*(1+MYP!$I$9)</f>
        <v>38.494800000000005</v>
      </c>
      <c r="M45" s="39">
        <f>+'FY22'!M45*(1+MYP!$I$9)</f>
        <v>38.494800000000005</v>
      </c>
      <c r="N45" s="39">
        <f>+'FY22'!N45*(1+MYP!$I$9)</f>
        <v>38.494800000000005</v>
      </c>
      <c r="O45" s="39">
        <f>+'FY22'!O45*(1+MYP!$I$9)</f>
        <v>38.494800000000005</v>
      </c>
      <c r="P45" s="39">
        <f>+'FY22'!P45*(1+MYP!$I$9)</f>
        <v>38.494800000000005</v>
      </c>
      <c r="Q45" s="36"/>
      <c r="R45" s="41"/>
      <c r="S45" s="59">
        <f t="shared" si="17"/>
        <v>461.93760000000003</v>
      </c>
      <c r="T45" s="41"/>
      <c r="U45" s="39">
        <f>'FY22'!S45</f>
        <v>452.88000000000005</v>
      </c>
      <c r="V45" s="39">
        <f t="shared" si="18"/>
        <v>-9.0575999999999794</v>
      </c>
      <c r="W45" s="39"/>
    </row>
    <row r="46" spans="3:23" s="37" customFormat="1" ht="12" x14ac:dyDescent="0.2">
      <c r="C46" s="200">
        <v>6227</v>
      </c>
      <c r="D46" s="37" t="s">
        <v>221</v>
      </c>
      <c r="E46" s="39">
        <f>+'FY22'!E46*(1+MYP!$I$9)</f>
        <v>212.43580800000001</v>
      </c>
      <c r="F46" s="39">
        <f>+'FY22'!F46*(1+MYP!$I$9)</f>
        <v>212.43580800000001</v>
      </c>
      <c r="G46" s="39">
        <f>+'FY22'!G46*(1+MYP!$I$9)</f>
        <v>212.43580800000001</v>
      </c>
      <c r="H46" s="39">
        <f>+'FY22'!H46*(1+MYP!$I$9)</f>
        <v>212.43580800000001</v>
      </c>
      <c r="I46" s="39">
        <f>+'FY22'!I46*(1+MYP!$I$9)</f>
        <v>212.43580800000001</v>
      </c>
      <c r="J46" s="39">
        <f>+'FY22'!J46*(1+MYP!$I$9)</f>
        <v>212.43580800000001</v>
      </c>
      <c r="K46" s="39">
        <f>+'FY22'!K46*(1+MYP!$I$9)</f>
        <v>212.43580800000001</v>
      </c>
      <c r="L46" s="39">
        <f>+'FY22'!L46*(1+MYP!$I$9)</f>
        <v>212.43580800000001</v>
      </c>
      <c r="M46" s="39">
        <f>+'FY22'!M46*(1+MYP!$I$9)</f>
        <v>212.43580800000001</v>
      </c>
      <c r="N46" s="39">
        <f>+'FY22'!N46*(1+MYP!$I$9)</f>
        <v>212.43580800000001</v>
      </c>
      <c r="O46" s="39">
        <f>+'FY22'!O46*(1+MYP!$I$9)</f>
        <v>212.43580800000001</v>
      </c>
      <c r="P46" s="39">
        <f>+'FY22'!P46*(1+MYP!$I$9)</f>
        <v>212.43580800000001</v>
      </c>
      <c r="Q46" s="36"/>
      <c r="R46" s="41"/>
      <c r="S46" s="59">
        <f t="shared" si="17"/>
        <v>2549.2296960000003</v>
      </c>
      <c r="T46" s="41"/>
      <c r="U46" s="39">
        <f>'FY22'!S46</f>
        <v>2499.244799999999</v>
      </c>
      <c r="V46" s="39">
        <f t="shared" si="18"/>
        <v>-49.984896000001299</v>
      </c>
      <c r="W46" s="39"/>
    </row>
    <row r="47" spans="3:23" s="37" customFormat="1" ht="12" x14ac:dyDescent="0.2">
      <c r="C47" s="200">
        <v>6231</v>
      </c>
      <c r="D47" s="37" t="s">
        <v>205</v>
      </c>
      <c r="E47" s="39">
        <f>+'FY22'!E47*(1+MYP!$I$9)</f>
        <v>1447.0222337887501</v>
      </c>
      <c r="F47" s="39">
        <f>+'FY22'!F47*(1+MYP!$I$9)</f>
        <v>1447.0222337887501</v>
      </c>
      <c r="G47" s="39">
        <f>+'FY22'!G47*(1+MYP!$I$9)</f>
        <v>1447.0222337887501</v>
      </c>
      <c r="H47" s="39">
        <f>+'FY22'!H47*(1+MYP!$I$9)</f>
        <v>1447.0222337887501</v>
      </c>
      <c r="I47" s="39">
        <f>+'FY22'!I47*(1+MYP!$I$9)</f>
        <v>1447.0222337887501</v>
      </c>
      <c r="J47" s="39">
        <f>+'FY22'!J47*(1+MYP!$I$9)</f>
        <v>1447.0222337887501</v>
      </c>
      <c r="K47" s="39">
        <f>+'FY22'!K47*(1+MYP!$I$9)</f>
        <v>1447.0222337887501</v>
      </c>
      <c r="L47" s="39">
        <f>+'FY22'!L47*(1+MYP!$I$9)</f>
        <v>1447.0222337887501</v>
      </c>
      <c r="M47" s="39">
        <f>+'FY22'!M47*(1+MYP!$I$9)</f>
        <v>1447.0222337887501</v>
      </c>
      <c r="N47" s="39">
        <f>+'FY22'!N47*(1+MYP!$I$9)</f>
        <v>1447.0222337887501</v>
      </c>
      <c r="O47" s="39">
        <f>+'FY22'!O47*(1+MYP!$I$9)</f>
        <v>1447.0222337887501</v>
      </c>
      <c r="P47" s="39">
        <f>+'FY22'!P47*(1+MYP!$I$9)</f>
        <v>1447.0222337887501</v>
      </c>
      <c r="Q47" s="36"/>
      <c r="R47" s="41"/>
      <c r="S47" s="59">
        <f>SUM(E47:Q47)</f>
        <v>17364.266805465002</v>
      </c>
      <c r="T47" s="41"/>
      <c r="U47" s="39">
        <f>'FY22'!S47</f>
        <v>17023.790985750002</v>
      </c>
      <c r="V47" s="39">
        <f t="shared" si="18"/>
        <v>-340.4758197150004</v>
      </c>
      <c r="W47" s="39"/>
    </row>
    <row r="48" spans="3:23" s="37" customFormat="1" ht="12" x14ac:dyDescent="0.2">
      <c r="C48" s="200">
        <v>6234</v>
      </c>
      <c r="D48" s="37" t="s">
        <v>206</v>
      </c>
      <c r="E48" s="39">
        <f>+'FY22'!E48*(1+MYP!$I$9)</f>
        <v>2494.9239046875</v>
      </c>
      <c r="F48" s="39">
        <f>+'FY22'!F48*(1+MYP!$I$9)</f>
        <v>2494.9239046875</v>
      </c>
      <c r="G48" s="39">
        <f>+'FY22'!G48*(1+MYP!$I$9)</f>
        <v>2494.9239046875</v>
      </c>
      <c r="H48" s="39">
        <f>+'FY22'!H48*(1+MYP!$I$9)</f>
        <v>2494.9239046875</v>
      </c>
      <c r="I48" s="39">
        <f>+'FY22'!I48*(1+MYP!$I$9)</f>
        <v>2494.9239046875</v>
      </c>
      <c r="J48" s="39">
        <f>+'FY22'!J48*(1+MYP!$I$9)</f>
        <v>2494.9239046875</v>
      </c>
      <c r="K48" s="39">
        <f>+'FY22'!K48*(1+MYP!$I$9)</f>
        <v>2494.9239046875</v>
      </c>
      <c r="L48" s="39">
        <f>+'FY22'!L48*(1+MYP!$I$9)</f>
        <v>2494.9239046875</v>
      </c>
      <c r="M48" s="39">
        <f>+'FY22'!M48*(1+MYP!$I$9)</f>
        <v>2494.9239046875</v>
      </c>
      <c r="N48" s="39">
        <f>+'FY22'!N48*(1+MYP!$I$9)</f>
        <v>2494.9239046875</v>
      </c>
      <c r="O48" s="39">
        <f>+'FY22'!O48*(1+MYP!$I$9)</f>
        <v>2494.9239046875</v>
      </c>
      <c r="P48" s="39">
        <f>+'FY22'!P48*(1+MYP!$I$9)</f>
        <v>2494.9239046875</v>
      </c>
      <c r="Q48" s="36"/>
      <c r="R48" s="41"/>
      <c r="S48" s="59">
        <f t="shared" si="17"/>
        <v>29939.086856250007</v>
      </c>
      <c r="T48" s="41"/>
      <c r="U48" s="39">
        <f>'FY22'!S48</f>
        <v>29352.045937500006</v>
      </c>
      <c r="V48" s="39">
        <f t="shared" si="18"/>
        <v>-587.04091875000086</v>
      </c>
      <c r="W48" s="39"/>
    </row>
    <row r="49" spans="3:23" s="37" customFormat="1" ht="12" x14ac:dyDescent="0.2">
      <c r="C49" s="200">
        <v>6237</v>
      </c>
      <c r="D49" s="37" t="s">
        <v>223</v>
      </c>
      <c r="E49" s="39">
        <f>+'FY22'!E49*(1+MYP!$I$9)</f>
        <v>609.27251948999992</v>
      </c>
      <c r="F49" s="39">
        <f>+'FY22'!F49*(1+MYP!$I$9)</f>
        <v>609.27251948999992</v>
      </c>
      <c r="G49" s="39">
        <f>+'FY22'!G49*(1+MYP!$I$9)</f>
        <v>609.27251948999992</v>
      </c>
      <c r="H49" s="39">
        <f>+'FY22'!H49*(1+MYP!$I$9)</f>
        <v>609.27251948999992</v>
      </c>
      <c r="I49" s="39">
        <f>+'FY22'!I49*(1+MYP!$I$9)</f>
        <v>609.27251948999992</v>
      </c>
      <c r="J49" s="39">
        <f>+'FY22'!J49*(1+MYP!$I$9)</f>
        <v>609.27251948999992</v>
      </c>
      <c r="K49" s="39">
        <f>+'FY22'!K49*(1+MYP!$I$9)</f>
        <v>609.27251948999992</v>
      </c>
      <c r="L49" s="39">
        <f>+'FY22'!L49*(1+MYP!$I$9)</f>
        <v>609.27251948999992</v>
      </c>
      <c r="M49" s="39">
        <f>+'FY22'!M49*(1+MYP!$I$9)</f>
        <v>609.27251948999992</v>
      </c>
      <c r="N49" s="39">
        <f>+'FY22'!N49*(1+MYP!$I$9)</f>
        <v>609.27251948999992</v>
      </c>
      <c r="O49" s="39">
        <f>+'FY22'!O49*(1+MYP!$I$9)</f>
        <v>609.27251948999992</v>
      </c>
      <c r="P49" s="39">
        <f>+'FY22'!P49*(1+MYP!$I$9)</f>
        <v>609.27251948999992</v>
      </c>
      <c r="Q49" s="36"/>
      <c r="R49" s="41"/>
      <c r="S49" s="59">
        <f t="shared" si="17"/>
        <v>7311.2702338799972</v>
      </c>
      <c r="T49" s="41"/>
      <c r="U49" s="39">
        <f>'FY22'!S49</f>
        <v>7167.9119939999991</v>
      </c>
      <c r="V49" s="39">
        <f t="shared" si="18"/>
        <v>-143.35823987999811</v>
      </c>
      <c r="W49" s="39"/>
    </row>
    <row r="50" spans="3:23" s="37" customFormat="1" ht="12" x14ac:dyDescent="0.2">
      <c r="C50" s="200">
        <v>6241</v>
      </c>
      <c r="D50" s="37" t="s">
        <v>196</v>
      </c>
      <c r="E50" s="39">
        <f>+'FY22'!E50*(1+MYP!$I$9)</f>
        <v>137.58572058975003</v>
      </c>
      <c r="F50" s="39">
        <f>+'FY22'!F50*(1+MYP!$I$9)</f>
        <v>137.58572058975003</v>
      </c>
      <c r="G50" s="39">
        <f>+'FY22'!G50*(1+MYP!$I$9)</f>
        <v>160.21442058975003</v>
      </c>
      <c r="H50" s="39">
        <f>+'FY22'!H50*(1+MYP!$I$9)</f>
        <v>164.74016058975002</v>
      </c>
      <c r="I50" s="39">
        <f>+'FY22'!I50*(1+MYP!$I$9)</f>
        <v>142.11146058975001</v>
      </c>
      <c r="J50" s="39">
        <f>+'FY22'!J50*(1+MYP!$I$9)</f>
        <v>142.11146058975001</v>
      </c>
      <c r="K50" s="39">
        <f>+'FY22'!K50*(1+MYP!$I$9)</f>
        <v>142.11146058975001</v>
      </c>
      <c r="L50" s="39">
        <f>+'FY22'!L50*(1+MYP!$I$9)</f>
        <v>160.21442058975003</v>
      </c>
      <c r="M50" s="39">
        <f>+'FY22'!M50*(1+MYP!$I$9)</f>
        <v>160.21442058975003</v>
      </c>
      <c r="N50" s="39">
        <f>+'FY22'!N50*(1+MYP!$I$9)</f>
        <v>137.58572058975003</v>
      </c>
      <c r="O50" s="39">
        <f>+'FY22'!O50*(1+MYP!$I$9)</f>
        <v>137.58572058975003</v>
      </c>
      <c r="P50" s="39">
        <f>+'FY22'!P50*(1+MYP!$I$9)</f>
        <v>137.58572058975003</v>
      </c>
      <c r="Q50" s="36"/>
      <c r="R50" s="41"/>
      <c r="S50" s="59">
        <f t="shared" si="17"/>
        <v>1759.6464070770003</v>
      </c>
      <c r="T50" s="41"/>
      <c r="U50" s="39">
        <f>'FY22'!S50</f>
        <v>1725.1435363500002</v>
      </c>
      <c r="V50" s="39">
        <f t="shared" si="18"/>
        <v>-34.502870727000072</v>
      </c>
      <c r="W50" s="39"/>
    </row>
    <row r="51" spans="3:23" s="37" customFormat="1" ht="12" x14ac:dyDescent="0.2">
      <c r="C51" s="200">
        <v>6244</v>
      </c>
      <c r="D51" s="37" t="s">
        <v>197</v>
      </c>
      <c r="E51" s="39">
        <f>+'FY22'!E51*(1+MYP!$I$9)</f>
        <v>123.67998843750001</v>
      </c>
      <c r="F51" s="39">
        <f>+'FY22'!F51*(1+MYP!$I$9)</f>
        <v>123.67998843750001</v>
      </c>
      <c r="G51" s="39">
        <f>+'FY22'!G51*(1+MYP!$I$9)</f>
        <v>137.69469663750002</v>
      </c>
      <c r="H51" s="39">
        <f>+'FY22'!H51*(1+MYP!$I$9)</f>
        <v>127.4514384375</v>
      </c>
      <c r="I51" s="39">
        <f>+'FY22'!I51*(1+MYP!$I$9)</f>
        <v>141.4661466375</v>
      </c>
      <c r="J51" s="39">
        <f>+'FY22'!J51*(1+MYP!$I$9)</f>
        <v>127.4514384375</v>
      </c>
      <c r="K51" s="39">
        <f>+'FY22'!K51*(1+MYP!$I$9)</f>
        <v>141.4661466375</v>
      </c>
      <c r="L51" s="39">
        <f>+'FY22'!L51*(1+MYP!$I$9)</f>
        <v>123.67998843750001</v>
      </c>
      <c r="M51" s="39">
        <f>+'FY22'!M51*(1+MYP!$I$9)</f>
        <v>137.69469663750002</v>
      </c>
      <c r="N51" s="39">
        <f>+'FY22'!N51*(1+MYP!$I$9)</f>
        <v>137.69469663750002</v>
      </c>
      <c r="O51" s="39">
        <f>+'FY22'!O51*(1+MYP!$I$9)</f>
        <v>123.67998843750001</v>
      </c>
      <c r="P51" s="39">
        <f>+'FY22'!P51*(1+MYP!$I$9)</f>
        <v>157.62303843750001</v>
      </c>
      <c r="Q51" s="36"/>
      <c r="R51" s="41"/>
      <c r="S51" s="59">
        <f t="shared" si="17"/>
        <v>1603.2622522500003</v>
      </c>
      <c r="T51" s="41"/>
      <c r="U51" s="39">
        <f>'FY22'!S51</f>
        <v>1571.8257374999998</v>
      </c>
      <c r="V51" s="39">
        <f t="shared" si="18"/>
        <v>-31.43651475000047</v>
      </c>
      <c r="W51" s="39"/>
    </row>
    <row r="52" spans="3:23" s="37" customFormat="1" ht="12" x14ac:dyDescent="0.2">
      <c r="C52" s="200">
        <v>6247</v>
      </c>
      <c r="D52" s="37" t="s">
        <v>224</v>
      </c>
      <c r="E52" s="39">
        <f>+'FY22'!E52*(1+MYP!$I$9)</f>
        <v>107.61339772200002</v>
      </c>
      <c r="F52" s="39">
        <f>+'FY22'!F52*(1+MYP!$I$9)</f>
        <v>107.61339772200002</v>
      </c>
      <c r="G52" s="39">
        <f>+'FY22'!G52*(1+MYP!$I$9)</f>
        <v>118.92774772200002</v>
      </c>
      <c r="H52" s="39">
        <f>+'FY22'!H52*(1+MYP!$I$9)</f>
        <v>121.19061772200001</v>
      </c>
      <c r="I52" s="39">
        <f>+'FY22'!I52*(1+MYP!$I$9)</f>
        <v>109.87626772200001</v>
      </c>
      <c r="J52" s="39">
        <f>+'FY22'!J52*(1+MYP!$I$9)</f>
        <v>109.87626772200001</v>
      </c>
      <c r="K52" s="39">
        <f>+'FY22'!K52*(1+MYP!$I$9)</f>
        <v>109.87626772200001</v>
      </c>
      <c r="L52" s="39">
        <f>+'FY22'!L52*(1+MYP!$I$9)</f>
        <v>118.92774772200002</v>
      </c>
      <c r="M52" s="39">
        <f>+'FY22'!M52*(1+MYP!$I$9)</f>
        <v>118.92774772200002</v>
      </c>
      <c r="N52" s="39">
        <f>+'FY22'!N52*(1+MYP!$I$9)</f>
        <v>107.61339772200002</v>
      </c>
      <c r="O52" s="39">
        <f>+'FY22'!O52*(1+MYP!$I$9)</f>
        <v>107.61339772200002</v>
      </c>
      <c r="P52" s="39">
        <f>+'FY22'!P52*(1+MYP!$I$9)</f>
        <v>107.61339772200002</v>
      </c>
      <c r="Q52" s="36"/>
      <c r="R52" s="41"/>
      <c r="S52" s="59">
        <f t="shared" si="17"/>
        <v>1345.6696526640001</v>
      </c>
      <c r="T52" s="41"/>
      <c r="U52" s="39">
        <f>'FY22'!S52</f>
        <v>1319.2839732000002</v>
      </c>
      <c r="V52" s="39">
        <f t="shared" si="18"/>
        <v>-26.38567946399985</v>
      </c>
      <c r="W52" s="39"/>
    </row>
    <row r="53" spans="3:23" s="37" customFormat="1" ht="12" x14ac:dyDescent="0.2">
      <c r="C53" s="200">
        <v>6261</v>
      </c>
      <c r="D53" s="37" t="s">
        <v>207</v>
      </c>
      <c r="E53" s="39">
        <f>+'FY22'!E53*(1+MYP!$I$9)</f>
        <v>81.151200000000003</v>
      </c>
      <c r="F53" s="39">
        <f>+'FY22'!F53*(1+MYP!$I$9)</f>
        <v>81.151200000000003</v>
      </c>
      <c r="G53" s="39">
        <f>+'FY22'!G53*(1+MYP!$I$9)</f>
        <v>81.151200000000003</v>
      </c>
      <c r="H53" s="39">
        <f>+'FY22'!H53*(1+MYP!$I$9)</f>
        <v>81.151200000000003</v>
      </c>
      <c r="I53" s="39">
        <f>+'FY22'!I53*(1+MYP!$I$9)</f>
        <v>81.151200000000003</v>
      </c>
      <c r="J53" s="39">
        <f>+'FY22'!J53*(1+MYP!$I$9)</f>
        <v>81.151200000000003</v>
      </c>
      <c r="K53" s="39">
        <f>+'FY22'!K53*(1+MYP!$I$9)</f>
        <v>81.151200000000003</v>
      </c>
      <c r="L53" s="39">
        <f>+'FY22'!L53*(1+MYP!$I$9)</f>
        <v>81.151200000000003</v>
      </c>
      <c r="M53" s="39">
        <f>+'FY22'!M53*(1+MYP!$I$9)</f>
        <v>81.151200000000003</v>
      </c>
      <c r="N53" s="39">
        <f>+'FY22'!N53*(1+MYP!$I$9)</f>
        <v>81.151200000000003</v>
      </c>
      <c r="O53" s="39">
        <f>+'FY22'!O53*(1+MYP!$I$9)</f>
        <v>81.151200000000003</v>
      </c>
      <c r="P53" s="39">
        <f>+'FY22'!P53*(1+MYP!$I$9)</f>
        <v>81.151200000000003</v>
      </c>
      <c r="Q53" s="36"/>
      <c r="R53" s="41"/>
      <c r="S53" s="59">
        <f t="shared" si="17"/>
        <v>973.81440000000009</v>
      </c>
      <c r="T53" s="41"/>
      <c r="U53" s="39">
        <f>'FY22'!S53</f>
        <v>954.7199999999998</v>
      </c>
      <c r="V53" s="39">
        <f t="shared" si="18"/>
        <v>-19.094400000000292</v>
      </c>
      <c r="W53" s="39"/>
    </row>
    <row r="54" spans="3:23" s="37" customFormat="1" ht="12" x14ac:dyDescent="0.2">
      <c r="C54" s="200">
        <v>6264</v>
      </c>
      <c r="D54" s="37" t="s">
        <v>208</v>
      </c>
      <c r="E54" s="39">
        <f>+'FY22'!E54*(1+MYP!$I$9)</f>
        <v>40.575600000000001</v>
      </c>
      <c r="F54" s="39">
        <f>+'FY22'!F54*(1+MYP!$I$9)</f>
        <v>40.575600000000001</v>
      </c>
      <c r="G54" s="39">
        <f>+'FY22'!G54*(1+MYP!$I$9)</f>
        <v>40.575600000000001</v>
      </c>
      <c r="H54" s="39">
        <f>+'FY22'!H54*(1+MYP!$I$9)</f>
        <v>40.575600000000001</v>
      </c>
      <c r="I54" s="39">
        <f>+'FY22'!I54*(1+MYP!$I$9)</f>
        <v>40.575600000000001</v>
      </c>
      <c r="J54" s="39">
        <f>+'FY22'!J54*(1+MYP!$I$9)</f>
        <v>40.575600000000001</v>
      </c>
      <c r="K54" s="39">
        <f>+'FY22'!K54*(1+MYP!$I$9)</f>
        <v>40.575600000000001</v>
      </c>
      <c r="L54" s="39">
        <f>+'FY22'!L54*(1+MYP!$I$9)</f>
        <v>40.575600000000001</v>
      </c>
      <c r="M54" s="39">
        <f>+'FY22'!M54*(1+MYP!$I$9)</f>
        <v>40.575600000000001</v>
      </c>
      <c r="N54" s="39">
        <f>+'FY22'!N54*(1+MYP!$I$9)</f>
        <v>40.575600000000001</v>
      </c>
      <c r="O54" s="39">
        <f>+'FY22'!O54*(1+MYP!$I$9)</f>
        <v>40.575600000000001</v>
      </c>
      <c r="P54" s="39">
        <f>+'FY22'!P54*(1+MYP!$I$9)</f>
        <v>40.575600000000001</v>
      </c>
      <c r="Q54" s="36"/>
      <c r="R54" s="41"/>
      <c r="S54" s="59">
        <f t="shared" si="17"/>
        <v>486.90720000000005</v>
      </c>
      <c r="T54" s="41"/>
      <c r="U54" s="39">
        <f>'FY22'!S54</f>
        <v>477.3599999999999</v>
      </c>
      <c r="V54" s="39">
        <f t="shared" si="18"/>
        <v>-9.5472000000001458</v>
      </c>
      <c r="W54" s="39"/>
    </row>
    <row r="55" spans="3:23" s="37" customFormat="1" ht="12" x14ac:dyDescent="0.2">
      <c r="C55" s="200">
        <v>6267</v>
      </c>
      <c r="D55" s="37" t="s">
        <v>225</v>
      </c>
      <c r="E55" s="39">
        <f>+'FY22'!E55*(1+MYP!$I$9)</f>
        <v>91.97135999999999</v>
      </c>
      <c r="F55" s="39">
        <f>+'FY22'!F55*(1+MYP!$I$9)</f>
        <v>91.97135999999999</v>
      </c>
      <c r="G55" s="39">
        <f>+'FY22'!G55*(1+MYP!$I$9)</f>
        <v>91.97135999999999</v>
      </c>
      <c r="H55" s="39">
        <f>+'FY22'!H55*(1+MYP!$I$9)</f>
        <v>91.97135999999999</v>
      </c>
      <c r="I55" s="39">
        <f>+'FY22'!I55*(1+MYP!$I$9)</f>
        <v>91.97135999999999</v>
      </c>
      <c r="J55" s="39">
        <f>+'FY22'!J55*(1+MYP!$I$9)</f>
        <v>91.97135999999999</v>
      </c>
      <c r="K55" s="39">
        <f>+'FY22'!K55*(1+MYP!$I$9)</f>
        <v>91.97135999999999</v>
      </c>
      <c r="L55" s="39">
        <f>+'FY22'!L55*(1+MYP!$I$9)</f>
        <v>91.97135999999999</v>
      </c>
      <c r="M55" s="39">
        <f>+'FY22'!M55*(1+MYP!$I$9)</f>
        <v>91.97135999999999</v>
      </c>
      <c r="N55" s="39">
        <f>+'FY22'!N55*(1+MYP!$I$9)</f>
        <v>91.97135999999999</v>
      </c>
      <c r="O55" s="39">
        <f>+'FY22'!O55*(1+MYP!$I$9)</f>
        <v>91.97135999999999</v>
      </c>
      <c r="P55" s="39">
        <f>+'FY22'!P55*(1+MYP!$I$9)</f>
        <v>91.97135999999999</v>
      </c>
      <c r="Q55" s="36"/>
      <c r="R55" s="41"/>
      <c r="S55" s="59">
        <f t="shared" si="17"/>
        <v>1103.6563199999998</v>
      </c>
      <c r="T55" s="41"/>
      <c r="U55" s="39">
        <f>'FY22'!S55</f>
        <v>1082.0159999999998</v>
      </c>
      <c r="V55" s="39">
        <f t="shared" si="18"/>
        <v>-21.640319999999974</v>
      </c>
      <c r="W55" s="39"/>
    </row>
    <row r="56" spans="3:23" s="37" customFormat="1" ht="12" x14ac:dyDescent="0.2">
      <c r="C56" s="200">
        <v>6271</v>
      </c>
      <c r="D56" s="37" t="s">
        <v>209</v>
      </c>
      <c r="E56" s="39">
        <f>+'FY22'!E56*(1+MYP!$I$9)</f>
        <v>65.733917505750014</v>
      </c>
      <c r="F56" s="39">
        <f>+'FY22'!F56*(1+MYP!$I$9)</f>
        <v>65.733917505750014</v>
      </c>
      <c r="G56" s="39">
        <f>+'FY22'!G56*(1+MYP!$I$9)</f>
        <v>65.733917505750014</v>
      </c>
      <c r="H56" s="39">
        <f>+'FY22'!H56*(1+MYP!$I$9)</f>
        <v>65.733917505750014</v>
      </c>
      <c r="I56" s="39">
        <f>+'FY22'!I56*(1+MYP!$I$9)</f>
        <v>65.733917505750014</v>
      </c>
      <c r="J56" s="39">
        <f>+'FY22'!J56*(1+MYP!$I$9)</f>
        <v>65.733917505750014</v>
      </c>
      <c r="K56" s="39">
        <f>+'FY22'!K56*(1+MYP!$I$9)</f>
        <v>65.733917505750014</v>
      </c>
      <c r="L56" s="39">
        <f>+'FY22'!L56*(1+MYP!$I$9)</f>
        <v>65.733917505750014</v>
      </c>
      <c r="M56" s="39">
        <f>+'FY22'!M56*(1+MYP!$I$9)</f>
        <v>65.733917505750014</v>
      </c>
      <c r="N56" s="39">
        <f>+'FY22'!N56*(1+MYP!$I$9)</f>
        <v>65.733917505750014</v>
      </c>
      <c r="O56" s="39">
        <f>+'FY22'!O56*(1+MYP!$I$9)</f>
        <v>65.733917505750014</v>
      </c>
      <c r="P56" s="39">
        <f>+'FY22'!P56*(1+MYP!$I$9)</f>
        <v>65.733917505750014</v>
      </c>
      <c r="Q56" s="36"/>
      <c r="R56" s="41"/>
      <c r="S56" s="59">
        <f t="shared" si="17"/>
        <v>788.80701006900017</v>
      </c>
      <c r="T56" s="41"/>
      <c r="U56" s="39">
        <f>'FY22'!S56</f>
        <v>773.34020595000004</v>
      </c>
      <c r="V56" s="39">
        <f t="shared" si="18"/>
        <v>-15.46680411900013</v>
      </c>
      <c r="W56" s="39"/>
    </row>
    <row r="57" spans="3:23" s="37" customFormat="1" ht="12" x14ac:dyDescent="0.2">
      <c r="C57" s="200">
        <v>6274</v>
      </c>
      <c r="D57" s="37" t="s">
        <v>210</v>
      </c>
      <c r="E57" s="39">
        <f>+'FY22'!E57*(1+MYP!$I$9)</f>
        <v>59.891980687500009</v>
      </c>
      <c r="F57" s="39">
        <f>+'FY22'!F57*(1+MYP!$I$9)</f>
        <v>59.891980687500009</v>
      </c>
      <c r="G57" s="39">
        <f>+'FY22'!G57*(1+MYP!$I$9)</f>
        <v>59.891980687500009</v>
      </c>
      <c r="H57" s="39">
        <f>+'FY22'!H57*(1+MYP!$I$9)</f>
        <v>59.891980687500009</v>
      </c>
      <c r="I57" s="39">
        <f>+'FY22'!I57*(1+MYP!$I$9)</f>
        <v>59.891980687500009</v>
      </c>
      <c r="J57" s="39">
        <f>+'FY22'!J57*(1+MYP!$I$9)</f>
        <v>59.891980687500009</v>
      </c>
      <c r="K57" s="39">
        <f>+'FY22'!K57*(1+MYP!$I$9)</f>
        <v>59.891980687500009</v>
      </c>
      <c r="L57" s="39">
        <f>+'FY22'!L57*(1+MYP!$I$9)</f>
        <v>59.891980687500009</v>
      </c>
      <c r="M57" s="39">
        <f>+'FY22'!M57*(1+MYP!$I$9)</f>
        <v>59.891980687500009</v>
      </c>
      <c r="N57" s="39">
        <f>+'FY22'!N57*(1+MYP!$I$9)</f>
        <v>59.891980687500009</v>
      </c>
      <c r="O57" s="39">
        <f>+'FY22'!O57*(1+MYP!$I$9)</f>
        <v>59.891980687500009</v>
      </c>
      <c r="P57" s="39">
        <f>+'FY22'!P57*(1+MYP!$I$9)</f>
        <v>59.891980687500009</v>
      </c>
      <c r="Q57" s="36"/>
      <c r="R57" s="41"/>
      <c r="S57" s="59">
        <f t="shared" si="17"/>
        <v>718.70376825000005</v>
      </c>
      <c r="T57" s="41"/>
      <c r="U57" s="39">
        <f>'FY22'!S57</f>
        <v>704.61153750000028</v>
      </c>
      <c r="V57" s="39">
        <f t="shared" si="18"/>
        <v>-14.092230749999771</v>
      </c>
      <c r="W57" s="39"/>
    </row>
    <row r="58" spans="3:23" s="37" customFormat="1" ht="12" x14ac:dyDescent="0.2">
      <c r="C58" s="200">
        <v>6277</v>
      </c>
      <c r="D58" s="37" t="s">
        <v>226</v>
      </c>
      <c r="E58" s="39">
        <f>+'FY22'!E58*(1+MYP!$I$9)</f>
        <v>50.269268633999992</v>
      </c>
      <c r="F58" s="39">
        <f>+'FY22'!F58*(1+MYP!$I$9)</f>
        <v>50.269268633999992</v>
      </c>
      <c r="G58" s="39">
        <f>+'FY22'!G58*(1+MYP!$I$9)</f>
        <v>50.269268633999992</v>
      </c>
      <c r="H58" s="39">
        <f>+'FY22'!H58*(1+MYP!$I$9)</f>
        <v>50.269268633999992</v>
      </c>
      <c r="I58" s="39">
        <f>+'FY22'!I58*(1+MYP!$I$9)</f>
        <v>50.269268633999992</v>
      </c>
      <c r="J58" s="39">
        <f>+'FY22'!J58*(1+MYP!$I$9)</f>
        <v>50.269268633999992</v>
      </c>
      <c r="K58" s="39">
        <f>+'FY22'!K58*(1+MYP!$I$9)</f>
        <v>50.269268633999992</v>
      </c>
      <c r="L58" s="39">
        <f>+'FY22'!L58*(1+MYP!$I$9)</f>
        <v>50.269268633999992</v>
      </c>
      <c r="M58" s="39">
        <f>+'FY22'!M58*(1+MYP!$I$9)</f>
        <v>50.269268633999992</v>
      </c>
      <c r="N58" s="39">
        <f>+'FY22'!N58*(1+MYP!$I$9)</f>
        <v>50.269268633999992</v>
      </c>
      <c r="O58" s="39">
        <f>+'FY22'!O58*(1+MYP!$I$9)</f>
        <v>50.269268633999992</v>
      </c>
      <c r="P58" s="39">
        <f>+'FY22'!P58*(1+MYP!$I$9)</f>
        <v>50.269268633999992</v>
      </c>
      <c r="Q58" s="36"/>
      <c r="R58" s="41"/>
      <c r="S58" s="59">
        <f t="shared" si="17"/>
        <v>603.23122360800005</v>
      </c>
      <c r="T58" s="41"/>
      <c r="U58" s="39">
        <f>'FY22'!S58</f>
        <v>591.40316039999982</v>
      </c>
      <c r="V58" s="39">
        <f t="shared" si="18"/>
        <v>-11.828063208000231</v>
      </c>
      <c r="W58" s="39"/>
    </row>
    <row r="59" spans="3:23" s="37" customFormat="1" ht="12" x14ac:dyDescent="0.2">
      <c r="C59" s="200">
        <v>6281</v>
      </c>
      <c r="D59" s="37" t="s">
        <v>193</v>
      </c>
      <c r="E59" s="39">
        <f>+'FY22'!E59*(1+MYP!$I$9)</f>
        <v>842.72400000000005</v>
      </c>
      <c r="F59" s="39">
        <f>+'FY22'!F59*(1+MYP!$I$9)</f>
        <v>842.72400000000005</v>
      </c>
      <c r="G59" s="39">
        <f>+'FY22'!G59*(1+MYP!$I$9)</f>
        <v>842.72400000000005</v>
      </c>
      <c r="H59" s="39">
        <f>+'FY22'!H59*(1+MYP!$I$9)</f>
        <v>842.72400000000005</v>
      </c>
      <c r="I59" s="39">
        <f>+'FY22'!I59*(1+MYP!$I$9)</f>
        <v>842.72400000000005</v>
      </c>
      <c r="J59" s="39">
        <f>+'FY22'!J59*(1+MYP!$I$9)</f>
        <v>842.72400000000005</v>
      </c>
      <c r="K59" s="39">
        <f>+'FY22'!K59*(1+MYP!$I$9)</f>
        <v>842.72400000000005</v>
      </c>
      <c r="L59" s="39">
        <f>+'FY22'!L59*(1+MYP!$I$9)</f>
        <v>842.72400000000005</v>
      </c>
      <c r="M59" s="39">
        <f>+'FY22'!M59*(1+MYP!$I$9)</f>
        <v>842.72400000000005</v>
      </c>
      <c r="N59" s="39">
        <f>+'FY22'!N59*(1+MYP!$I$9)</f>
        <v>842.72400000000005</v>
      </c>
      <c r="O59" s="39">
        <f>+'FY22'!O59*(1+MYP!$I$9)</f>
        <v>842.72400000000005</v>
      </c>
      <c r="P59" s="39">
        <f>+'FY22'!P59*(1+MYP!$I$9)</f>
        <v>842.72400000000005</v>
      </c>
      <c r="Q59" s="36"/>
      <c r="R59" s="41"/>
      <c r="S59" s="59">
        <f t="shared" si="17"/>
        <v>10112.688</v>
      </c>
      <c r="T59" s="41"/>
      <c r="U59" s="39">
        <f>'FY22'!S59</f>
        <v>9914.4000000000015</v>
      </c>
      <c r="V59" s="39">
        <f t="shared" si="18"/>
        <v>-198.28799999999865</v>
      </c>
      <c r="W59" s="39"/>
    </row>
    <row r="60" spans="3:23" s="37" customFormat="1" ht="12" x14ac:dyDescent="0.2">
      <c r="C60" s="200">
        <v>6284</v>
      </c>
      <c r="D60" s="37" t="s">
        <v>194</v>
      </c>
      <c r="E60" s="39">
        <f>+'FY22'!E60*(1+MYP!$I$9)</f>
        <v>421.36200000000002</v>
      </c>
      <c r="F60" s="39">
        <f>+'FY22'!F60*(1+MYP!$I$9)</f>
        <v>421.36200000000002</v>
      </c>
      <c r="G60" s="39">
        <f>+'FY22'!G60*(1+MYP!$I$9)</f>
        <v>421.36200000000002</v>
      </c>
      <c r="H60" s="39">
        <f>+'FY22'!H60*(1+MYP!$I$9)</f>
        <v>421.36200000000002</v>
      </c>
      <c r="I60" s="39">
        <f>+'FY22'!I60*(1+MYP!$I$9)</f>
        <v>421.36200000000002</v>
      </c>
      <c r="J60" s="39">
        <f>+'FY22'!J60*(1+MYP!$I$9)</f>
        <v>421.36200000000002</v>
      </c>
      <c r="K60" s="39">
        <f>+'FY22'!K60*(1+MYP!$I$9)</f>
        <v>421.36200000000002</v>
      </c>
      <c r="L60" s="39">
        <f>+'FY22'!L60*(1+MYP!$I$9)</f>
        <v>421.36200000000002</v>
      </c>
      <c r="M60" s="39">
        <f>+'FY22'!M60*(1+MYP!$I$9)</f>
        <v>421.36200000000002</v>
      </c>
      <c r="N60" s="39">
        <f>+'FY22'!N60*(1+MYP!$I$9)</f>
        <v>421.36200000000002</v>
      </c>
      <c r="O60" s="39">
        <f>+'FY22'!O60*(1+MYP!$I$9)</f>
        <v>421.36200000000002</v>
      </c>
      <c r="P60" s="39">
        <f>+'FY22'!P60*(1+MYP!$I$9)</f>
        <v>421.36200000000002</v>
      </c>
      <c r="Q60" s="98"/>
      <c r="R60" s="41"/>
      <c r="S60" s="59">
        <f t="shared" si="17"/>
        <v>5056.3440000000001</v>
      </c>
      <c r="T60" s="41"/>
      <c r="U60" s="39">
        <f>'FY22'!S60</f>
        <v>4957.2000000000007</v>
      </c>
      <c r="V60" s="39">
        <f t="shared" si="18"/>
        <v>-99.143999999999323</v>
      </c>
      <c r="W60" s="39"/>
    </row>
    <row r="61" spans="3:23" s="37" customFormat="1" ht="12" x14ac:dyDescent="0.2">
      <c r="C61" s="200">
        <v>6287</v>
      </c>
      <c r="D61" s="37" t="s">
        <v>227</v>
      </c>
      <c r="E61" s="39">
        <f>+'FY22'!E61*(1+MYP!$I$9)</f>
        <v>421.36200000000002</v>
      </c>
      <c r="F61" s="39">
        <f>+'FY22'!F61*(1+MYP!$I$9)</f>
        <v>421.36200000000002</v>
      </c>
      <c r="G61" s="39">
        <f>+'FY22'!G61*(1+MYP!$I$9)</f>
        <v>421.36200000000002</v>
      </c>
      <c r="H61" s="39">
        <f>+'FY22'!H61*(1+MYP!$I$9)</f>
        <v>421.36200000000002</v>
      </c>
      <c r="I61" s="39">
        <f>+'FY22'!I61*(1+MYP!$I$9)</f>
        <v>421.36200000000002</v>
      </c>
      <c r="J61" s="39">
        <f>+'FY22'!J61*(1+MYP!$I$9)</f>
        <v>421.36200000000002</v>
      </c>
      <c r="K61" s="39">
        <f>+'FY22'!K61*(1+MYP!$I$9)</f>
        <v>421.36200000000002</v>
      </c>
      <c r="L61" s="39">
        <f>+'FY22'!L61*(1+MYP!$I$9)</f>
        <v>421.36200000000002</v>
      </c>
      <c r="M61" s="39">
        <f>+'FY22'!M61*(1+MYP!$I$9)</f>
        <v>421.36200000000002</v>
      </c>
      <c r="N61" s="39">
        <f>+'FY22'!N61*(1+MYP!$I$9)</f>
        <v>421.36200000000002</v>
      </c>
      <c r="O61" s="39">
        <f>+'FY22'!O61*(1+MYP!$I$9)</f>
        <v>421.36200000000002</v>
      </c>
      <c r="P61" s="39">
        <f>+'FY22'!P61*(1+MYP!$I$9)</f>
        <v>421.36200000000002</v>
      </c>
      <c r="Q61" s="98"/>
      <c r="R61" s="41"/>
      <c r="S61" s="59">
        <f t="shared" si="17"/>
        <v>5056.3440000000001</v>
      </c>
      <c r="T61" s="41"/>
      <c r="U61" s="39">
        <f>'FY22'!S61</f>
        <v>4957.2000000000007</v>
      </c>
      <c r="V61" s="39">
        <f t="shared" si="18"/>
        <v>-99.143999999999323</v>
      </c>
      <c r="W61" s="39"/>
    </row>
    <row r="62" spans="3:23" s="37" customFormat="1" ht="12" x14ac:dyDescent="0.2">
      <c r="C62" s="38"/>
      <c r="E62" s="50">
        <f t="shared" ref="E62:P62" si="19">SUBTOTAL(9,E43:E61)</f>
        <v>7361.5540995427491</v>
      </c>
      <c r="F62" s="50">
        <f t="shared" si="19"/>
        <v>7361.5540995427491</v>
      </c>
      <c r="G62" s="50">
        <f t="shared" si="19"/>
        <v>7409.5118577427511</v>
      </c>
      <c r="H62" s="50">
        <f t="shared" si="19"/>
        <v>7406.0572095427506</v>
      </c>
      <c r="I62" s="50">
        <f t="shared" si="19"/>
        <v>7386.128867742751</v>
      </c>
      <c r="J62" s="50">
        <f t="shared" si="19"/>
        <v>7372.1141595427507</v>
      </c>
      <c r="K62" s="50">
        <f t="shared" si="19"/>
        <v>7386.128867742751</v>
      </c>
      <c r="L62" s="50">
        <f t="shared" si="19"/>
        <v>7395.4971495427508</v>
      </c>
      <c r="M62" s="50">
        <f t="shared" si="19"/>
        <v>7409.5118577427511</v>
      </c>
      <c r="N62" s="50">
        <f t="shared" si="19"/>
        <v>7375.5688077427494</v>
      </c>
      <c r="O62" s="50">
        <f t="shared" si="19"/>
        <v>7361.5540995427491</v>
      </c>
      <c r="P62" s="50">
        <f t="shared" si="19"/>
        <v>7395.4971495427508</v>
      </c>
      <c r="Q62" s="99"/>
      <c r="R62" s="41"/>
      <c r="S62" s="61">
        <f>SUBTOTAL(9,S43:S61)</f>
        <v>88620.678225512995</v>
      </c>
      <c r="T62" s="41"/>
      <c r="U62" s="50">
        <f>SUBTOTAL(9,U43:U61)</f>
        <v>86883.017868149997</v>
      </c>
      <c r="V62" s="50">
        <f>SUBTOTAL(9,V43:V61)</f>
        <v>-1737.6603573629986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200">
        <v>6300</v>
      </c>
      <c r="D64" s="37" t="s">
        <v>9</v>
      </c>
      <c r="E64" s="39">
        <v>4321.5</v>
      </c>
      <c r="F64" s="39">
        <f>+'FY22'!F64*(1+MYP!$I$10)</f>
        <v>200.27699999999999</v>
      </c>
      <c r="G64" s="39">
        <f>+'FY22'!G64*(1+MYP!$I$10)</f>
        <v>200.27699999999999</v>
      </c>
      <c r="H64" s="39">
        <f>+'FY22'!H64*(1+MYP!$I$10)</f>
        <v>200.27699999999999</v>
      </c>
      <c r="I64" s="39">
        <f>+'FY22'!I64*(1+MYP!$I$10)</f>
        <v>200.27699999999999</v>
      </c>
      <c r="J64" s="39">
        <f>+'FY22'!J64*(1+MYP!$I$10)</f>
        <v>200.27699999999999</v>
      </c>
      <c r="K64" s="39">
        <f>+'FY22'!K64*(1+MYP!$I$10)</f>
        <v>200.27699999999999</v>
      </c>
      <c r="L64" s="39">
        <f>+'FY22'!L64*(1+MYP!$I$10)</f>
        <v>200.27699999999999</v>
      </c>
      <c r="M64" s="39">
        <f>+'FY22'!M64*(1+MYP!$I$10)</f>
        <v>200.27699999999999</v>
      </c>
      <c r="N64" s="39">
        <f>+'FY22'!N64*(1+MYP!$I$10)</f>
        <v>200.27699999999999</v>
      </c>
      <c r="O64" s="39">
        <f>+'FY22'!O64*(1+MYP!$I$10)</f>
        <v>200.27699999999999</v>
      </c>
      <c r="P64" s="39">
        <f>+'FY22'!P64*(1+MYP!$I$10)</f>
        <v>200.27699999999999</v>
      </c>
      <c r="Q64" s="100"/>
      <c r="R64" s="41"/>
      <c r="S64" s="59">
        <f t="shared" ref="S64:S73" si="20">SUM(E64:Q64)</f>
        <v>6524.5470000000005</v>
      </c>
      <c r="T64" s="41"/>
      <c r="U64" s="39">
        <f>'FY22'!S64</f>
        <v>6481.350000000004</v>
      </c>
      <c r="V64" s="39">
        <f t="shared" ref="V64:V73" si="21">U64-S64</f>
        <v>-43.196999999996478</v>
      </c>
      <c r="W64" s="39"/>
    </row>
    <row r="65" spans="3:23" s="37" customFormat="1" ht="12" x14ac:dyDescent="0.2">
      <c r="C65" s="200">
        <v>6320</v>
      </c>
      <c r="D65" s="37" t="s">
        <v>10</v>
      </c>
      <c r="E65" s="39">
        <f>+'FY22'!E65*(1+MYP!$I$10)</f>
        <v>216.75</v>
      </c>
      <c r="F65" s="39">
        <f>+'FY22'!F65*(1+MYP!$I$10)</f>
        <v>216.75</v>
      </c>
      <c r="G65" s="39">
        <f>+'FY22'!G65*(1+MYP!$I$10)</f>
        <v>216.75</v>
      </c>
      <c r="H65" s="39">
        <f>+'FY22'!H65*(1+MYP!$I$10)</f>
        <v>216.75</v>
      </c>
      <c r="I65" s="39">
        <f>+'FY22'!I65*(1+MYP!$I$10)</f>
        <v>216.75</v>
      </c>
      <c r="J65" s="39">
        <f>+'FY22'!J65*(1+MYP!$I$10)</f>
        <v>216.75</v>
      </c>
      <c r="K65" s="39">
        <f>+'FY22'!K65*(1+MYP!$I$10)</f>
        <v>216.75</v>
      </c>
      <c r="L65" s="39">
        <f>+'FY22'!L65*(1+MYP!$I$10)</f>
        <v>216.75</v>
      </c>
      <c r="M65" s="39">
        <f>+'FY22'!M65*(1+MYP!$I$10)</f>
        <v>216.75</v>
      </c>
      <c r="N65" s="39">
        <f>+'FY22'!N65*(1+MYP!$I$10)</f>
        <v>216.75</v>
      </c>
      <c r="O65" s="39">
        <f>+'FY22'!O65*(1+MYP!$I$10)</f>
        <v>216.75</v>
      </c>
      <c r="P65" s="39">
        <f>+'FY22'!P65*(1+MYP!$I$10)</f>
        <v>216.75</v>
      </c>
      <c r="Q65" s="100"/>
      <c r="R65" s="41"/>
      <c r="S65" s="59">
        <f t="shared" si="20"/>
        <v>2601</v>
      </c>
      <c r="T65" s="41"/>
      <c r="U65" s="39">
        <f>'FY22'!S65</f>
        <v>2550</v>
      </c>
      <c r="V65" s="39">
        <f t="shared" si="21"/>
        <v>-51</v>
      </c>
      <c r="W65" s="39"/>
    </row>
    <row r="66" spans="3:23" s="37" customFormat="1" ht="12" x14ac:dyDescent="0.2">
      <c r="C66" s="200">
        <v>6331</v>
      </c>
      <c r="D66" s="37" t="s">
        <v>11</v>
      </c>
      <c r="E66" s="39">
        <f>+'FY22'!E66*(1+MYP!$I$10)</f>
        <v>86.7</v>
      </c>
      <c r="F66" s="39">
        <f>+'FY22'!F66*(1+MYP!$I$10)</f>
        <v>86.7</v>
      </c>
      <c r="G66" s="39">
        <f>+'FY22'!G66*(1+MYP!$I$10)</f>
        <v>86.7</v>
      </c>
      <c r="H66" s="39">
        <f>+'FY22'!H66*(1+MYP!$I$10)</f>
        <v>86.7</v>
      </c>
      <c r="I66" s="39">
        <f>+'FY22'!I66*(1+MYP!$I$10)</f>
        <v>86.7</v>
      </c>
      <c r="J66" s="39">
        <f>+'FY22'!J66*(1+MYP!$I$10)</f>
        <v>86.7</v>
      </c>
      <c r="K66" s="39">
        <f>+'FY22'!K66*(1+MYP!$I$10)</f>
        <v>86.7</v>
      </c>
      <c r="L66" s="39">
        <f>+'FY22'!L66*(1+MYP!$I$10)</f>
        <v>86.7</v>
      </c>
      <c r="M66" s="39">
        <f>+'FY22'!M66*(1+MYP!$I$10)</f>
        <v>86.7</v>
      </c>
      <c r="N66" s="39">
        <f>+'FY22'!N66*(1+MYP!$I$10)</f>
        <v>86.7</v>
      </c>
      <c r="O66" s="39">
        <f>+'FY22'!O66*(1+MYP!$I$10)</f>
        <v>86.7</v>
      </c>
      <c r="P66" s="39">
        <f>+'FY22'!P66*(1+MYP!$I$10)</f>
        <v>86.7</v>
      </c>
      <c r="Q66" s="100"/>
      <c r="R66" s="41"/>
      <c r="S66" s="59">
        <f t="shared" si="20"/>
        <v>1040.4000000000003</v>
      </c>
      <c r="T66" s="41"/>
      <c r="U66" s="39">
        <f>'FY22'!S66</f>
        <v>1020</v>
      </c>
      <c r="V66" s="39">
        <f t="shared" si="21"/>
        <v>-20.400000000000318</v>
      </c>
      <c r="W66" s="39"/>
    </row>
    <row r="67" spans="3:23" s="37" customFormat="1" ht="12" x14ac:dyDescent="0.2">
      <c r="C67" s="200">
        <v>6334</v>
      </c>
      <c r="D67" s="37" t="s">
        <v>12</v>
      </c>
      <c r="E67" s="39">
        <f>+'FY22'!E67*(1+MYP!$I$10)</f>
        <v>65.025000000000006</v>
      </c>
      <c r="F67" s="39">
        <f>+'FY22'!F67*(1+MYP!$I$10)</f>
        <v>65.025000000000006</v>
      </c>
      <c r="G67" s="39">
        <f>+'FY22'!G67*(1+MYP!$I$10)</f>
        <v>65.025000000000006</v>
      </c>
      <c r="H67" s="39">
        <f>+'FY22'!H67*(1+MYP!$I$10)</f>
        <v>65.025000000000006</v>
      </c>
      <c r="I67" s="39">
        <f>+'FY22'!I67*(1+MYP!$I$10)</f>
        <v>65.025000000000006</v>
      </c>
      <c r="J67" s="39">
        <f>+'FY22'!J67*(1+MYP!$I$10)</f>
        <v>65.025000000000006</v>
      </c>
      <c r="K67" s="39">
        <f>+'FY22'!K67*(1+MYP!$I$10)</f>
        <v>65.025000000000006</v>
      </c>
      <c r="L67" s="39">
        <f>+'FY22'!L67*(1+MYP!$I$10)</f>
        <v>65.025000000000006</v>
      </c>
      <c r="M67" s="39">
        <f>+'FY22'!M67*(1+MYP!$I$10)</f>
        <v>65.025000000000006</v>
      </c>
      <c r="N67" s="39">
        <f>+'FY22'!N67*(1+MYP!$I$10)</f>
        <v>65.025000000000006</v>
      </c>
      <c r="O67" s="39">
        <f>+'FY22'!O67*(1+MYP!$I$10)</f>
        <v>65.025000000000006</v>
      </c>
      <c r="P67" s="39">
        <f>+'FY22'!P67*(1+MYP!$I$10)</f>
        <v>65.025000000000006</v>
      </c>
      <c r="Q67" s="100"/>
      <c r="R67" s="41"/>
      <c r="S67" s="59">
        <f t="shared" si="20"/>
        <v>780.29999999999984</v>
      </c>
      <c r="T67" s="41"/>
      <c r="U67" s="39">
        <f>'FY22'!S67</f>
        <v>765</v>
      </c>
      <c r="V67" s="39">
        <f t="shared" si="21"/>
        <v>-15.299999999999841</v>
      </c>
      <c r="W67" s="39"/>
    </row>
    <row r="68" spans="3:23" s="37" customFormat="1" ht="12" x14ac:dyDescent="0.2">
      <c r="C68" s="200">
        <v>6336</v>
      </c>
      <c r="D68" s="37" t="s">
        <v>13</v>
      </c>
      <c r="E68" s="39">
        <f>+'FY22'!E68*(1+MYP!$I$10)</f>
        <v>0</v>
      </c>
      <c r="F68" s="39">
        <f>+'FY22'!F68*(1+MYP!$I$10)</f>
        <v>0</v>
      </c>
      <c r="G68" s="39">
        <f>+'FY22'!G68*(1+MYP!$I$10)</f>
        <v>0</v>
      </c>
      <c r="H68" s="39">
        <f>+'FY22'!H68*(1+MYP!$I$10)</f>
        <v>0</v>
      </c>
      <c r="I68" s="39">
        <f>+'FY22'!I68*(1+MYP!$I$10)</f>
        <v>0</v>
      </c>
      <c r="J68" s="39">
        <f>+'FY22'!J68*(1+MYP!$I$10)</f>
        <v>0</v>
      </c>
      <c r="K68" s="39">
        <f>+'FY22'!K68*(1+MYP!$I$10)</f>
        <v>0</v>
      </c>
      <c r="L68" s="39">
        <f>+'FY22'!L68*(1+MYP!$I$10)</f>
        <v>0</v>
      </c>
      <c r="M68" s="39">
        <f>+'FY22'!M68*(1+MYP!$I$10)</f>
        <v>0</v>
      </c>
      <c r="N68" s="39">
        <f>+'FY22'!N68*(1+MYP!$I$10)</f>
        <v>0</v>
      </c>
      <c r="O68" s="39">
        <f>+'FY22'!O68*(1+MYP!$I$10)</f>
        <v>0</v>
      </c>
      <c r="P68" s="39">
        <f>+'FY22'!P68*(1+MYP!$I$10)</f>
        <v>0</v>
      </c>
      <c r="Q68" s="100"/>
      <c r="R68" s="41"/>
      <c r="S68" s="59">
        <f t="shared" si="20"/>
        <v>0</v>
      </c>
      <c r="T68" s="41"/>
      <c r="U68" s="39">
        <f>'FY22'!S68</f>
        <v>0</v>
      </c>
      <c r="V68" s="39">
        <f t="shared" si="21"/>
        <v>0</v>
      </c>
      <c r="W68" s="39"/>
    </row>
    <row r="69" spans="3:23" s="37" customFormat="1" ht="12" x14ac:dyDescent="0.2">
      <c r="C69" s="200">
        <v>6337</v>
      </c>
      <c r="D69" s="37" t="s">
        <v>14</v>
      </c>
      <c r="E69" s="39">
        <f>+'FY22'!E69*(1+MYP!$I$10)</f>
        <v>43.35</v>
      </c>
      <c r="F69" s="39">
        <f>+'FY22'!F69*(1+MYP!$I$10)</f>
        <v>43.35</v>
      </c>
      <c r="G69" s="39">
        <f>+'FY22'!G69*(1+MYP!$I$10)</f>
        <v>43.35</v>
      </c>
      <c r="H69" s="39">
        <f>+'FY22'!H69*(1+MYP!$I$10)</f>
        <v>43.35</v>
      </c>
      <c r="I69" s="39">
        <f>+'FY22'!I69*(1+MYP!$I$10)</f>
        <v>43.35</v>
      </c>
      <c r="J69" s="39">
        <f>+'FY22'!J69*(1+MYP!$I$10)</f>
        <v>43.35</v>
      </c>
      <c r="K69" s="39">
        <f>+'FY22'!K69*(1+MYP!$I$10)</f>
        <v>43.35</v>
      </c>
      <c r="L69" s="39">
        <f>+'FY22'!L69*(1+MYP!$I$10)</f>
        <v>43.35</v>
      </c>
      <c r="M69" s="39">
        <f>+'FY22'!M69*(1+MYP!$I$10)</f>
        <v>43.35</v>
      </c>
      <c r="N69" s="39">
        <f>+'FY22'!N69*(1+MYP!$I$10)</f>
        <v>43.35</v>
      </c>
      <c r="O69" s="39">
        <f>+'FY22'!O69*(1+MYP!$I$10)</f>
        <v>43.35</v>
      </c>
      <c r="P69" s="39">
        <f>+'FY22'!P69*(1+MYP!$I$10)</f>
        <v>43.35</v>
      </c>
      <c r="Q69" s="100"/>
      <c r="R69" s="41"/>
      <c r="S69" s="59">
        <f t="shared" si="20"/>
        <v>520.20000000000016</v>
      </c>
      <c r="T69" s="41"/>
      <c r="U69" s="39">
        <f>'FY22'!S69</f>
        <v>510</v>
      </c>
      <c r="V69" s="39">
        <f t="shared" si="21"/>
        <v>-10.200000000000159</v>
      </c>
      <c r="W69" s="39"/>
    </row>
    <row r="70" spans="3:23" s="37" customFormat="1" ht="12" x14ac:dyDescent="0.2">
      <c r="C70" s="200">
        <v>6340</v>
      </c>
      <c r="D70" s="37" t="s">
        <v>15</v>
      </c>
      <c r="E70" s="39">
        <f>+'FY22'!E70*(1+MYP!$I$10)</f>
        <v>2528.172</v>
      </c>
      <c r="F70" s="39">
        <f>+'FY22'!F70*(1+MYP!$I$10)</f>
        <v>2528.172</v>
      </c>
      <c r="G70" s="39">
        <f>+'FY22'!G70*(1+MYP!$I$10)</f>
        <v>2528.172</v>
      </c>
      <c r="H70" s="39">
        <f>+'FY22'!H70*(1+MYP!$I$10)</f>
        <v>2528.172</v>
      </c>
      <c r="I70" s="39">
        <f>+'FY22'!I70*(1+MYP!$I$10)</f>
        <v>2528.172</v>
      </c>
      <c r="J70" s="39">
        <f>+'FY22'!J70*(1+MYP!$I$10)</f>
        <v>2528.172</v>
      </c>
      <c r="K70" s="39">
        <f>+'FY22'!K70*(1+MYP!$I$10)</f>
        <v>2528.172</v>
      </c>
      <c r="L70" s="39">
        <f>+'FY22'!L70*(1+MYP!$I$10)</f>
        <v>2528.172</v>
      </c>
      <c r="M70" s="39">
        <f>+'FY22'!M70*(1+MYP!$I$10)</f>
        <v>2528.172</v>
      </c>
      <c r="N70" s="39">
        <f>+'FY22'!N70*(1+MYP!$I$10)</f>
        <v>2528.172</v>
      </c>
      <c r="O70" s="39">
        <f>+'FY22'!O70*(1+MYP!$I$10)</f>
        <v>2528.172</v>
      </c>
      <c r="P70" s="39">
        <f>+'FY22'!P70*(1+MYP!$I$10)</f>
        <v>2528.172</v>
      </c>
      <c r="Q70" s="100"/>
      <c r="R70" s="41"/>
      <c r="S70" s="59">
        <f t="shared" si="20"/>
        <v>30338.063999999995</v>
      </c>
      <c r="T70" s="41"/>
      <c r="U70" s="39">
        <f>'FY22'!S70</f>
        <v>29743.199999999993</v>
      </c>
      <c r="V70" s="39">
        <f t="shared" si="21"/>
        <v>-594.8640000000014</v>
      </c>
      <c r="W70" s="39"/>
    </row>
    <row r="71" spans="3:23" s="37" customFormat="1" ht="12" x14ac:dyDescent="0.2">
      <c r="C71" s="200">
        <v>6345</v>
      </c>
      <c r="D71" s="37" t="s">
        <v>16</v>
      </c>
      <c r="E71" s="39">
        <f>+'FY22'!E71*(1+MYP!$I$10)</f>
        <v>0</v>
      </c>
      <c r="F71" s="39">
        <f>+'FY22'!F71*(1+MYP!$I$10)</f>
        <v>0</v>
      </c>
      <c r="G71" s="39">
        <f>+'FY22'!G71*(1+MYP!$I$10)</f>
        <v>0</v>
      </c>
      <c r="H71" s="39">
        <f>+'FY22'!H71*(1+MYP!$I$10)</f>
        <v>0</v>
      </c>
      <c r="I71" s="39">
        <f>+'FY22'!I71*(1+MYP!$I$10)</f>
        <v>0</v>
      </c>
      <c r="J71" s="39">
        <f>+'FY22'!J71*(1+MYP!$I$10)</f>
        <v>0</v>
      </c>
      <c r="K71" s="39">
        <f>+'FY22'!K71*(1+MYP!$I$10)</f>
        <v>0</v>
      </c>
      <c r="L71" s="39">
        <f>+'FY22'!L71*(1+MYP!$I$10)</f>
        <v>0</v>
      </c>
      <c r="M71" s="39">
        <f>+'FY22'!M71*(1+MYP!$I$10)</f>
        <v>0</v>
      </c>
      <c r="N71" s="39">
        <f>+'FY22'!N71*(1+MYP!$I$10)</f>
        <v>0</v>
      </c>
      <c r="O71" s="39">
        <f>+'FY22'!O71*(1+MYP!$I$10)</f>
        <v>0</v>
      </c>
      <c r="P71" s="39">
        <f>+'FY22'!P71*(1+MYP!$I$10)</f>
        <v>0</v>
      </c>
      <c r="Q71" s="100"/>
      <c r="R71" s="41"/>
      <c r="S71" s="59">
        <f t="shared" si="20"/>
        <v>0</v>
      </c>
      <c r="T71" s="41"/>
      <c r="U71" s="39">
        <f>'FY22'!S71</f>
        <v>0</v>
      </c>
      <c r="V71" s="39">
        <f t="shared" si="21"/>
        <v>0</v>
      </c>
      <c r="W71" s="39"/>
    </row>
    <row r="72" spans="3:23" s="37" customFormat="1" ht="12" x14ac:dyDescent="0.2">
      <c r="C72" s="200">
        <v>6350</v>
      </c>
      <c r="D72" s="37" t="s">
        <v>17</v>
      </c>
      <c r="E72" s="39">
        <f>+'FY22'!E72*(1+MYP!$I$10)</f>
        <v>173.4</v>
      </c>
      <c r="F72" s="39">
        <f>+'FY22'!F72*(1+MYP!$I$10)</f>
        <v>173.4</v>
      </c>
      <c r="G72" s="39">
        <f>+'FY22'!G72*(1+MYP!$I$10)</f>
        <v>173.4</v>
      </c>
      <c r="H72" s="39">
        <f>+'FY22'!H72*(1+MYP!$I$10)</f>
        <v>173.4</v>
      </c>
      <c r="I72" s="39">
        <f>+'FY22'!I72*(1+MYP!$I$10)</f>
        <v>173.4</v>
      </c>
      <c r="J72" s="39">
        <f>+'FY22'!J72*(1+MYP!$I$10)</f>
        <v>173.4</v>
      </c>
      <c r="K72" s="39">
        <f>+'FY22'!K72*(1+MYP!$I$10)</f>
        <v>173.4</v>
      </c>
      <c r="L72" s="39">
        <f>+'FY22'!L72*(1+MYP!$I$10)</f>
        <v>173.4</v>
      </c>
      <c r="M72" s="39">
        <f>+'FY22'!M72*(1+MYP!$I$10)</f>
        <v>173.4</v>
      </c>
      <c r="N72" s="39">
        <f>+'FY22'!N72*(1+MYP!$I$10)</f>
        <v>173.4</v>
      </c>
      <c r="O72" s="39">
        <f>+'FY22'!O72*(1+MYP!$I$10)</f>
        <v>173.4</v>
      </c>
      <c r="P72" s="39">
        <f>+'FY22'!P72*(1+MYP!$I$10)</f>
        <v>173.4</v>
      </c>
      <c r="Q72" s="100"/>
      <c r="R72" s="41"/>
      <c r="S72" s="59">
        <f t="shared" si="20"/>
        <v>2080.8000000000006</v>
      </c>
      <c r="T72" s="41"/>
      <c r="U72" s="39">
        <f>'FY22'!S72</f>
        <v>2040</v>
      </c>
      <c r="V72" s="39">
        <f t="shared" si="21"/>
        <v>-40.800000000000637</v>
      </c>
      <c r="W72" s="39"/>
    </row>
    <row r="73" spans="3:23" s="37" customFormat="1" ht="12" x14ac:dyDescent="0.2">
      <c r="C73" s="200">
        <v>6351</v>
      </c>
      <c r="D73" s="37" t="s">
        <v>18</v>
      </c>
      <c r="E73" s="39">
        <f>+'FY22'!E73*(1+MYP!$I$10)</f>
        <v>0</v>
      </c>
      <c r="F73" s="39">
        <f>+'FY22'!F73*(1+MYP!$I$10)</f>
        <v>0</v>
      </c>
      <c r="G73" s="39">
        <f>+'FY22'!G73*(1+MYP!$I$10)</f>
        <v>0</v>
      </c>
      <c r="H73" s="39">
        <f>+'FY22'!H73*(1+MYP!$I$10)</f>
        <v>0</v>
      </c>
      <c r="I73" s="39">
        <f>+'FY22'!I73*(1+MYP!$I$10)</f>
        <v>0</v>
      </c>
      <c r="J73" s="39">
        <f>+'FY22'!J73*(1+MYP!$I$10)</f>
        <v>0</v>
      </c>
      <c r="K73" s="39">
        <f>+'FY22'!K73*(1+MYP!$I$10)</f>
        <v>0</v>
      </c>
      <c r="L73" s="39">
        <f>+'FY22'!L73*(1+MYP!$I$10)</f>
        <v>0</v>
      </c>
      <c r="M73" s="39">
        <f>+'FY22'!M73*(1+MYP!$I$10)</f>
        <v>0</v>
      </c>
      <c r="N73" s="39">
        <f>+'FY22'!N73*(1+MYP!$I$10)</f>
        <v>0</v>
      </c>
      <c r="O73" s="39">
        <f>+'FY22'!O73*(1+MYP!$I$10)</f>
        <v>0</v>
      </c>
      <c r="P73" s="39">
        <f>+'FY22'!P73*(1+MYP!$I$10)</f>
        <v>0</v>
      </c>
      <c r="Q73" s="100"/>
      <c r="R73" s="41"/>
      <c r="S73" s="59">
        <f t="shared" si="20"/>
        <v>0</v>
      </c>
      <c r="T73" s="41"/>
      <c r="U73" s="39">
        <f>'FY22'!S73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7434.896999999999</v>
      </c>
      <c r="F74" s="50">
        <f t="shared" ref="F74:V74" si="22">SUBTOTAL(9,F64:F73)</f>
        <v>3313.674</v>
      </c>
      <c r="G74" s="50">
        <f t="shared" si="22"/>
        <v>3313.674</v>
      </c>
      <c r="H74" s="50">
        <f t="shared" si="22"/>
        <v>3313.674</v>
      </c>
      <c r="I74" s="50">
        <f t="shared" si="22"/>
        <v>3313.674</v>
      </c>
      <c r="J74" s="50">
        <f t="shared" si="22"/>
        <v>3313.674</v>
      </c>
      <c r="K74" s="50">
        <f t="shared" si="22"/>
        <v>3313.674</v>
      </c>
      <c r="L74" s="50">
        <f t="shared" si="22"/>
        <v>3313.674</v>
      </c>
      <c r="M74" s="50">
        <f t="shared" si="22"/>
        <v>3313.674</v>
      </c>
      <c r="N74" s="50">
        <f t="shared" si="22"/>
        <v>3313.674</v>
      </c>
      <c r="O74" s="50">
        <f t="shared" si="22"/>
        <v>3313.674</v>
      </c>
      <c r="P74" s="50">
        <f t="shared" si="22"/>
        <v>3313.674</v>
      </c>
      <c r="Q74" s="99"/>
      <c r="R74" s="41"/>
      <c r="S74" s="61">
        <f t="shared" si="22"/>
        <v>43885.311000000002</v>
      </c>
      <c r="T74" s="41"/>
      <c r="U74" s="50">
        <f t="shared" si="22"/>
        <v>43109.549999999996</v>
      </c>
      <c r="V74" s="50">
        <f t="shared" si="22"/>
        <v>-775.76099999999883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200">
        <v>6410</v>
      </c>
      <c r="D76" s="37" t="s">
        <v>19</v>
      </c>
      <c r="E76" s="39">
        <f>+'FY22'!E76*(1+MYP!$I$10)</f>
        <v>208.08</v>
      </c>
      <c r="F76" s="39">
        <f>+'FY22'!F76*(1+MYP!$I$10)</f>
        <v>208.08</v>
      </c>
      <c r="G76" s="39">
        <f>+'FY22'!G76*(1+MYP!$I$10)</f>
        <v>208.08</v>
      </c>
      <c r="H76" s="39">
        <f>+'FY22'!H76*(1+MYP!$I$10)</f>
        <v>208.08</v>
      </c>
      <c r="I76" s="39">
        <f>+'FY22'!I76*(1+MYP!$I$10)</f>
        <v>208.08</v>
      </c>
      <c r="J76" s="39">
        <f>+'FY22'!J76*(1+MYP!$I$10)</f>
        <v>208.08</v>
      </c>
      <c r="K76" s="39">
        <f>+'FY22'!K76*(1+MYP!$I$10)</f>
        <v>208.08</v>
      </c>
      <c r="L76" s="39">
        <f>+'FY22'!L76*(1+MYP!$I$10)</f>
        <v>208.08</v>
      </c>
      <c r="M76" s="39">
        <f>+'FY22'!M76*(1+MYP!$I$10)</f>
        <v>208.08</v>
      </c>
      <c r="N76" s="39">
        <f>+'FY22'!N76*(1+MYP!$I$10)</f>
        <v>208.08</v>
      </c>
      <c r="O76" s="39">
        <f>+'FY22'!O76*(1+MYP!$I$10)</f>
        <v>208.08</v>
      </c>
      <c r="P76" s="39">
        <f>+'FY22'!P76*(1+MYP!$I$10)</f>
        <v>208.08</v>
      </c>
      <c r="Q76" s="100"/>
      <c r="R76" s="41"/>
      <c r="S76" s="59">
        <f t="shared" ref="S76:S79" si="23">SUM(E76:Q76)</f>
        <v>2496.9599999999996</v>
      </c>
      <c r="T76" s="41"/>
      <c r="U76" s="39">
        <f>'FY22'!S76</f>
        <v>2448</v>
      </c>
      <c r="V76" s="39">
        <f t="shared" ref="V76:V79" si="24">U76-S76</f>
        <v>-48.959999999999582</v>
      </c>
      <c r="W76" s="39"/>
    </row>
    <row r="77" spans="3:23" s="37" customFormat="1" ht="12" x14ac:dyDescent="0.2">
      <c r="C77" s="200">
        <v>6420</v>
      </c>
      <c r="D77" s="37" t="s">
        <v>20</v>
      </c>
      <c r="E77" s="39">
        <f>+'FY22'!E77*(1+MYP!$I$10)</f>
        <v>840.99</v>
      </c>
      <c r="F77" s="39">
        <f>+'FY22'!F77*(1+MYP!$I$10)</f>
        <v>840.99</v>
      </c>
      <c r="G77" s="39">
        <f>+'FY22'!G77*(1+MYP!$I$10)</f>
        <v>1725.33</v>
      </c>
      <c r="H77" s="39">
        <f>+'FY22'!H77*(1+MYP!$I$10)</f>
        <v>840.99</v>
      </c>
      <c r="I77" s="39">
        <f>+'FY22'!I77*(1+MYP!$I$10)</f>
        <v>840.99</v>
      </c>
      <c r="J77" s="39">
        <f>+'FY22'!J77*(1+MYP!$I$10)</f>
        <v>1101.0899999999999</v>
      </c>
      <c r="K77" s="39">
        <f>+'FY22'!K77*(1+MYP!$I$10)</f>
        <v>840.99</v>
      </c>
      <c r="L77" s="39">
        <f>+'FY22'!L77*(1+MYP!$I$10)</f>
        <v>840.99</v>
      </c>
      <c r="M77" s="39">
        <f>+'FY22'!M77*(1+MYP!$I$10)</f>
        <v>1101.0899999999999</v>
      </c>
      <c r="N77" s="39">
        <f>+'FY22'!N77*(1+MYP!$I$10)</f>
        <v>840.99</v>
      </c>
      <c r="O77" s="39">
        <f>+'FY22'!O77*(1+MYP!$I$10)</f>
        <v>840.99</v>
      </c>
      <c r="P77" s="39">
        <f>+'FY22'!P77*(1+MYP!$I$10)</f>
        <v>1101.0899999999999</v>
      </c>
      <c r="Q77" s="100"/>
      <c r="R77" s="41"/>
      <c r="S77" s="59">
        <f t="shared" si="23"/>
        <v>11756.519999999999</v>
      </c>
      <c r="T77" s="41"/>
      <c r="U77" s="39">
        <f>'FY22'!S77</f>
        <v>11526</v>
      </c>
      <c r="V77" s="39">
        <f t="shared" si="24"/>
        <v>-230.51999999999862</v>
      </c>
      <c r="W77" s="39"/>
    </row>
    <row r="78" spans="3:23" s="37" customFormat="1" ht="12" x14ac:dyDescent="0.2">
      <c r="C78" s="200">
        <v>6430</v>
      </c>
      <c r="D78" s="37" t="s">
        <v>21</v>
      </c>
      <c r="E78" s="39">
        <f>+'FY22'!E78*(1+MYP!$I$10)</f>
        <v>55318.067999999999</v>
      </c>
      <c r="F78" s="39">
        <f>+'FY22'!F78*(1+MYP!$I$10)</f>
        <v>52.02</v>
      </c>
      <c r="G78" s="39">
        <f>+'FY22'!G78*(1+MYP!$I$10)</f>
        <v>520.20000000000005</v>
      </c>
      <c r="H78" s="39">
        <f>+'FY22'!H78*(1+MYP!$I$10)</f>
        <v>946.76400000000001</v>
      </c>
      <c r="I78" s="39">
        <f>+'FY22'!I78*(1+MYP!$I$10)</f>
        <v>52.02</v>
      </c>
      <c r="J78" s="39">
        <f>+'FY22'!J78*(1+MYP!$I$10)</f>
        <v>520.20000000000005</v>
      </c>
      <c r="K78" s="39">
        <f>+'FY22'!K78*(1+MYP!$I$10)</f>
        <v>52.02</v>
      </c>
      <c r="L78" s="39">
        <f>+'FY22'!L78*(1+MYP!$I$10)</f>
        <v>52.02</v>
      </c>
      <c r="M78" s="39">
        <f>+'FY22'!M78*(1+MYP!$I$10)</f>
        <v>520.20000000000005</v>
      </c>
      <c r="N78" s="39">
        <f>+'FY22'!N78*(1+MYP!$I$10)</f>
        <v>52.02</v>
      </c>
      <c r="O78" s="39">
        <f>+'FY22'!O78*(1+MYP!$I$10)</f>
        <v>1014.39</v>
      </c>
      <c r="P78" s="39">
        <f>+'FY22'!P78*(1+MYP!$I$10)</f>
        <v>520.20000000000005</v>
      </c>
      <c r="Q78" s="100"/>
      <c r="R78" s="41"/>
      <c r="S78" s="59">
        <f t="shared" si="23"/>
        <v>59620.121999999974</v>
      </c>
      <c r="T78" s="41"/>
      <c r="U78" s="39">
        <f>'FY22'!S78</f>
        <v>58451.1</v>
      </c>
      <c r="V78" s="39">
        <f t="shared" si="24"/>
        <v>-1169.0219999999754</v>
      </c>
      <c r="W78" s="39"/>
    </row>
    <row r="79" spans="3:23" s="37" customFormat="1" ht="12" x14ac:dyDescent="0.2">
      <c r="C79" s="200">
        <v>6441</v>
      </c>
      <c r="D79" s="37" t="s">
        <v>22</v>
      </c>
      <c r="E79" s="39">
        <f>+'FY22'!E79*(1+MYP!$I$10)</f>
        <v>9470.8548360000004</v>
      </c>
      <c r="F79" s="39">
        <f>+'FY22'!F79*(1+MYP!$I$10)</f>
        <v>9470.8548360000004</v>
      </c>
      <c r="G79" s="39">
        <f>+'FY22'!G79*(1+MYP!$I$10)</f>
        <v>9470.8548360000004</v>
      </c>
      <c r="H79" s="39">
        <f>+'FY22'!H79*(1+MYP!$I$10)</f>
        <v>9470.8548360000004</v>
      </c>
      <c r="I79" s="39">
        <f>+'FY22'!I79*(1+MYP!$I$10)</f>
        <v>9470.8548360000004</v>
      </c>
      <c r="J79" s="39">
        <f>+'FY22'!J79*(1+MYP!$I$10)</f>
        <v>9470.8548360000004</v>
      </c>
      <c r="K79" s="39">
        <f>+'FY22'!K79*(1+MYP!$I$10)</f>
        <v>11551.654836</v>
      </c>
      <c r="L79" s="39">
        <f>+'FY22'!L79*(1+MYP!$I$10)</f>
        <v>9470.8548360000004</v>
      </c>
      <c r="M79" s="39">
        <f>+'FY22'!M79*(1+MYP!$I$10)</f>
        <v>9470.8548360000004</v>
      </c>
      <c r="N79" s="39">
        <f>+'FY22'!N79*(1+MYP!$I$10)</f>
        <v>9470.8548360000004</v>
      </c>
      <c r="O79" s="39">
        <f>+'FY22'!O79*(1+MYP!$I$10)</f>
        <v>10792.017180000003</v>
      </c>
      <c r="P79" s="39">
        <f>+'FY22'!P79*(1+MYP!$I$10)</f>
        <v>10792.017180000003</v>
      </c>
      <c r="Q79" s="100"/>
      <c r="R79" s="41"/>
      <c r="S79" s="59">
        <f t="shared" si="23"/>
        <v>118373.38271999999</v>
      </c>
      <c r="T79" s="41"/>
      <c r="U79" s="39">
        <f>'FY22'!S79</f>
        <v>116052.33599999998</v>
      </c>
      <c r="V79" s="39">
        <f t="shared" si="24"/>
        <v>-2321.046720000013</v>
      </c>
      <c r="W79" s="39"/>
    </row>
    <row r="80" spans="3:23" s="37" customFormat="1" ht="12" x14ac:dyDescent="0.2">
      <c r="C80" s="38"/>
      <c r="E80" s="50">
        <f>SUBTOTAL(9,E76:E79)</f>
        <v>65837.992836000005</v>
      </c>
      <c r="F80" s="50">
        <f t="shared" ref="F80:V80" si="25">SUBTOTAL(9,F76:F79)</f>
        <v>10571.944836000001</v>
      </c>
      <c r="G80" s="50">
        <f t="shared" si="25"/>
        <v>11924.464835999999</v>
      </c>
      <c r="H80" s="50">
        <f t="shared" si="25"/>
        <v>11466.688836000001</v>
      </c>
      <c r="I80" s="50">
        <f t="shared" si="25"/>
        <v>10571.944836000001</v>
      </c>
      <c r="J80" s="50">
        <f t="shared" si="25"/>
        <v>11300.224836000001</v>
      </c>
      <c r="K80" s="50">
        <f t="shared" si="25"/>
        <v>12652.744836</v>
      </c>
      <c r="L80" s="50">
        <f t="shared" si="25"/>
        <v>10571.944836000001</v>
      </c>
      <c r="M80" s="50">
        <f t="shared" si="25"/>
        <v>11300.224836000001</v>
      </c>
      <c r="N80" s="50">
        <f t="shared" si="25"/>
        <v>10571.944836000001</v>
      </c>
      <c r="O80" s="50">
        <f t="shared" si="25"/>
        <v>12855.477180000002</v>
      </c>
      <c r="P80" s="50">
        <f t="shared" si="25"/>
        <v>12621.387180000002</v>
      </c>
      <c r="Q80" s="99"/>
      <c r="R80" s="41"/>
      <c r="S80" s="61">
        <f t="shared" si="25"/>
        <v>192246.98471999995</v>
      </c>
      <c r="T80" s="41"/>
      <c r="U80" s="50">
        <f t="shared" si="25"/>
        <v>188477.43599999999</v>
      </c>
      <c r="V80" s="50">
        <f t="shared" si="25"/>
        <v>-3769.5487199999866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200">
        <v>6519</v>
      </c>
      <c r="D82" s="37" t="s">
        <v>234</v>
      </c>
      <c r="E82" s="39">
        <f>+'FY22'!E82*(1+MYP!$I$10)</f>
        <v>34.68</v>
      </c>
      <c r="F82" s="39">
        <f>+'FY22'!F82*(1+MYP!$I$10)</f>
        <v>34.68</v>
      </c>
      <c r="G82" s="39">
        <f>+'FY22'!G82*(1+MYP!$I$10)</f>
        <v>34.68</v>
      </c>
      <c r="H82" s="39">
        <f>+'FY22'!H82*(1+MYP!$I$10)</f>
        <v>34.68</v>
      </c>
      <c r="I82" s="39">
        <f>+'FY22'!I82*(1+MYP!$I$10)</f>
        <v>34.68</v>
      </c>
      <c r="J82" s="39">
        <f>+'FY22'!J82*(1+MYP!$I$10)</f>
        <v>34.68</v>
      </c>
      <c r="K82" s="39">
        <f>+'FY22'!K82*(1+MYP!$I$10)</f>
        <v>34.68</v>
      </c>
      <c r="L82" s="39">
        <f>+'FY22'!L82*(1+MYP!$I$10)</f>
        <v>34.68</v>
      </c>
      <c r="M82" s="39">
        <f>+'FY22'!M82*(1+MYP!$I$10)</f>
        <v>34.68</v>
      </c>
      <c r="N82" s="39">
        <f>+'FY22'!N82*(1+MYP!$I$10)</f>
        <v>34.68</v>
      </c>
      <c r="O82" s="39">
        <f>+'FY22'!O82*(1+MYP!$I$10)</f>
        <v>34.68</v>
      </c>
      <c r="P82" s="39">
        <f>+'FY22'!P82*(1+MYP!$I$10)</f>
        <v>34.68</v>
      </c>
      <c r="Q82" s="100"/>
      <c r="R82" s="41"/>
      <c r="S82" s="59">
        <f t="shared" ref="S82:S93" si="26">SUM(E82:Q82)</f>
        <v>416.16</v>
      </c>
      <c r="T82" s="41"/>
      <c r="U82" s="39">
        <f>'FY22'!S82</f>
        <v>408</v>
      </c>
      <c r="V82" s="39">
        <f t="shared" ref="V82:V93" si="27">U82-S82</f>
        <v>-8.160000000000025</v>
      </c>
      <c r="W82" s="39"/>
    </row>
    <row r="83" spans="3:23" s="37" customFormat="1" ht="12" x14ac:dyDescent="0.2">
      <c r="C83" s="200">
        <v>6521</v>
      </c>
      <c r="D83" s="37" t="s">
        <v>24</v>
      </c>
      <c r="E83" s="39">
        <f>+'FY22'!E83*(1+MYP!$I$10)</f>
        <v>0</v>
      </c>
      <c r="F83" s="39">
        <f>+'FY22'!F83*(1+MYP!$I$10)</f>
        <v>3953.52</v>
      </c>
      <c r="G83" s="39">
        <f>+'FY22'!G83*(1+MYP!$I$10)</f>
        <v>0</v>
      </c>
      <c r="H83" s="39">
        <f>+'FY22'!H83*(1+MYP!$I$10)</f>
        <v>0</v>
      </c>
      <c r="I83" s="39">
        <f>+'FY22'!I83*(1+MYP!$I$10)</f>
        <v>0</v>
      </c>
      <c r="J83" s="39">
        <f>+'FY22'!J83*(1+MYP!$I$10)</f>
        <v>0</v>
      </c>
      <c r="K83" s="39">
        <f>+'FY22'!K83*(1+MYP!$I$10)</f>
        <v>0</v>
      </c>
      <c r="L83" s="39">
        <f>+'FY22'!L83*(1+MYP!$I$10)</f>
        <v>0</v>
      </c>
      <c r="M83" s="39">
        <f>+'FY22'!M83*(1+MYP!$I$10)</f>
        <v>0</v>
      </c>
      <c r="N83" s="39">
        <f>+'FY22'!N83*(1+MYP!$I$10)</f>
        <v>0</v>
      </c>
      <c r="O83" s="39">
        <f>+'FY22'!O83*(1+MYP!$I$10)</f>
        <v>0</v>
      </c>
      <c r="P83" s="39">
        <f>+'FY22'!P83*(1+MYP!$I$10)</f>
        <v>0</v>
      </c>
      <c r="Q83" s="100"/>
      <c r="R83" s="41"/>
      <c r="S83" s="59">
        <f t="shared" si="26"/>
        <v>3953.52</v>
      </c>
      <c r="T83" s="41"/>
      <c r="U83" s="39">
        <f>'FY22'!S83</f>
        <v>3876</v>
      </c>
      <c r="V83" s="39">
        <f t="shared" si="27"/>
        <v>-77.519999999999982</v>
      </c>
      <c r="W83" s="39"/>
    </row>
    <row r="84" spans="3:23" s="37" customFormat="1" ht="12" x14ac:dyDescent="0.2">
      <c r="C84" s="200">
        <v>6522</v>
      </c>
      <c r="D84" s="37" t="s">
        <v>25</v>
      </c>
      <c r="E84" s="39">
        <f>+'FY22'!E84*(1+MYP!$I$10)</f>
        <v>0</v>
      </c>
      <c r="F84" s="39">
        <f>+'FY22'!F84*(1+MYP!$I$10)</f>
        <v>0</v>
      </c>
      <c r="G84" s="39">
        <f>+'FY22'!G84*(1+MYP!$I$10)</f>
        <v>0</v>
      </c>
      <c r="H84" s="39">
        <f>+'FY22'!H84*(1+MYP!$I$10)</f>
        <v>0</v>
      </c>
      <c r="I84" s="39">
        <f>+'FY22'!I84*(1+MYP!$I$10)</f>
        <v>0</v>
      </c>
      <c r="J84" s="39">
        <f>+'FY22'!J84*(1+MYP!$I$10)</f>
        <v>0</v>
      </c>
      <c r="K84" s="39">
        <f>+'FY22'!K84*(1+MYP!$I$10)</f>
        <v>0</v>
      </c>
      <c r="L84" s="39">
        <f>+'FY22'!L84*(1+MYP!$I$10)</f>
        <v>0</v>
      </c>
      <c r="M84" s="39">
        <f>+'FY22'!M84*(1+MYP!$I$10)</f>
        <v>0</v>
      </c>
      <c r="N84" s="39">
        <f>+'FY22'!N84*(1+MYP!$I$10)</f>
        <v>0</v>
      </c>
      <c r="O84" s="39">
        <f>+'FY22'!O84*(1+MYP!$I$10)</f>
        <v>0</v>
      </c>
      <c r="P84" s="39">
        <f>+'FY22'!P84*(1+MYP!$I$10)</f>
        <v>0</v>
      </c>
      <c r="Q84" s="100"/>
      <c r="R84" s="41"/>
      <c r="S84" s="59">
        <f t="shared" si="26"/>
        <v>0</v>
      </c>
      <c r="T84" s="41"/>
      <c r="U84" s="39">
        <f>'FY22'!S84</f>
        <v>0</v>
      </c>
      <c r="V84" s="39">
        <f t="shared" si="27"/>
        <v>0</v>
      </c>
      <c r="W84" s="39"/>
    </row>
    <row r="85" spans="3:23" s="37" customFormat="1" ht="12" x14ac:dyDescent="0.2">
      <c r="C85" s="200">
        <v>6523</v>
      </c>
      <c r="D85" s="37" t="s">
        <v>26</v>
      </c>
      <c r="E85" s="39">
        <f>+'FY22'!E85*(1+MYP!$I$10)</f>
        <v>0</v>
      </c>
      <c r="F85" s="39">
        <f>+'FY22'!F85*(1+MYP!$I$10)</f>
        <v>0</v>
      </c>
      <c r="G85" s="39">
        <f>+'FY22'!G85*(1+MYP!$I$10)</f>
        <v>0</v>
      </c>
      <c r="H85" s="39">
        <f>+'FY22'!H85*(1+MYP!$I$10)</f>
        <v>0</v>
      </c>
      <c r="I85" s="39">
        <f>+'FY22'!I85*(1+MYP!$I$10)</f>
        <v>0</v>
      </c>
      <c r="J85" s="39">
        <f>+'FY22'!J85*(1+MYP!$I$10)</f>
        <v>0</v>
      </c>
      <c r="K85" s="39">
        <f>+'FY22'!K85*(1+MYP!$I$10)</f>
        <v>0</v>
      </c>
      <c r="L85" s="39">
        <f>+'FY22'!L85*(1+MYP!$I$10)</f>
        <v>0</v>
      </c>
      <c r="M85" s="39">
        <f>+'FY22'!M85*(1+MYP!$I$10)</f>
        <v>0</v>
      </c>
      <c r="N85" s="39">
        <f>+'FY22'!N85*(1+MYP!$I$10)</f>
        <v>0</v>
      </c>
      <c r="O85" s="39">
        <f>+'FY22'!O85*(1+MYP!$I$10)</f>
        <v>0</v>
      </c>
      <c r="P85" s="39">
        <f>+'FY22'!P85*(1+MYP!$I$10)</f>
        <v>0</v>
      </c>
      <c r="Q85" s="100"/>
      <c r="R85" s="41"/>
      <c r="S85" s="59">
        <f t="shared" si="26"/>
        <v>0</v>
      </c>
      <c r="T85" s="41"/>
      <c r="U85" s="39">
        <f>'FY22'!S85</f>
        <v>0</v>
      </c>
      <c r="V85" s="39">
        <f t="shared" si="27"/>
        <v>0</v>
      </c>
      <c r="W85" s="39"/>
    </row>
    <row r="86" spans="3:23" s="37" customFormat="1" ht="12" x14ac:dyDescent="0.2">
      <c r="C86" s="200">
        <v>6531</v>
      </c>
      <c r="D86" s="37" t="s">
        <v>27</v>
      </c>
      <c r="E86" s="39">
        <f>+'FY22'!E86*(1+MYP!$I$10)</f>
        <v>156.06</v>
      </c>
      <c r="F86" s="39">
        <f>+'FY22'!F86*(1+MYP!$I$10)</f>
        <v>156.06</v>
      </c>
      <c r="G86" s="39">
        <f>+'FY22'!G86*(1+MYP!$I$10)</f>
        <v>156.06</v>
      </c>
      <c r="H86" s="39">
        <f>+'FY22'!H86*(1+MYP!$I$10)</f>
        <v>156.06</v>
      </c>
      <c r="I86" s="39">
        <f>+'FY22'!I86*(1+MYP!$I$10)</f>
        <v>156.06</v>
      </c>
      <c r="J86" s="39">
        <f>+'FY22'!J86*(1+MYP!$I$10)</f>
        <v>156.06</v>
      </c>
      <c r="K86" s="39">
        <f>+'FY22'!K86*(1+MYP!$I$10)</f>
        <v>156.06</v>
      </c>
      <c r="L86" s="39">
        <f>+'FY22'!L86*(1+MYP!$I$10)</f>
        <v>156.06</v>
      </c>
      <c r="M86" s="39">
        <f>+'FY22'!M86*(1+MYP!$I$10)</f>
        <v>156.06</v>
      </c>
      <c r="N86" s="39">
        <f>+'FY22'!N86*(1+MYP!$I$10)</f>
        <v>156.06</v>
      </c>
      <c r="O86" s="39">
        <f>+'FY22'!O86*(1+MYP!$I$10)</f>
        <v>156.06</v>
      </c>
      <c r="P86" s="39">
        <f>+'FY22'!P86*(1+MYP!$I$10)</f>
        <v>156.06</v>
      </c>
      <c r="Q86" s="100"/>
      <c r="R86" s="41"/>
      <c r="S86" s="59">
        <f t="shared" si="26"/>
        <v>1872.7199999999996</v>
      </c>
      <c r="T86" s="41"/>
      <c r="U86" s="39">
        <f>'FY22'!S86</f>
        <v>1836</v>
      </c>
      <c r="V86" s="39">
        <f t="shared" si="27"/>
        <v>-36.719999999999573</v>
      </c>
      <c r="W86" s="39"/>
    </row>
    <row r="87" spans="3:23" s="37" customFormat="1" ht="12" x14ac:dyDescent="0.2">
      <c r="C87" s="200">
        <v>6534</v>
      </c>
      <c r="D87" s="37" t="s">
        <v>28</v>
      </c>
      <c r="E87" s="39">
        <f>+'FY22'!E87*(1+MYP!$I$10)</f>
        <v>0</v>
      </c>
      <c r="F87" s="39">
        <f>+'FY22'!F87*(1+MYP!$I$10)</f>
        <v>0</v>
      </c>
      <c r="G87" s="39">
        <f>+'FY22'!G87*(1+MYP!$I$10)</f>
        <v>0</v>
      </c>
      <c r="H87" s="39">
        <f>+'FY22'!H87*(1+MYP!$I$10)</f>
        <v>0</v>
      </c>
      <c r="I87" s="39">
        <f>+'FY22'!I87*(1+MYP!$I$10)</f>
        <v>0</v>
      </c>
      <c r="J87" s="39">
        <f>+'FY22'!J87*(1+MYP!$I$10)</f>
        <v>0</v>
      </c>
      <c r="K87" s="39">
        <f>+'FY22'!K87*(1+MYP!$I$10)</f>
        <v>0</v>
      </c>
      <c r="L87" s="39">
        <f>+'FY22'!L87*(1+MYP!$I$10)</f>
        <v>0</v>
      </c>
      <c r="M87" s="39">
        <f>+'FY22'!M87*(1+MYP!$I$10)</f>
        <v>0</v>
      </c>
      <c r="N87" s="39">
        <f>+'FY22'!N87*(1+MYP!$I$10)</f>
        <v>0</v>
      </c>
      <c r="O87" s="39">
        <f>+'FY22'!O87*(1+MYP!$I$10)</f>
        <v>0</v>
      </c>
      <c r="P87" s="39">
        <f>+'FY22'!P87*(1+MYP!$I$10)</f>
        <v>0</v>
      </c>
      <c r="Q87" s="100"/>
      <c r="R87" s="41"/>
      <c r="S87" s="59">
        <f t="shared" si="26"/>
        <v>0</v>
      </c>
      <c r="T87" s="41"/>
      <c r="U87" s="39">
        <f>'FY22'!S87</f>
        <v>0</v>
      </c>
      <c r="V87" s="39">
        <f t="shared" si="27"/>
        <v>0</v>
      </c>
      <c r="W87" s="39"/>
    </row>
    <row r="88" spans="3:23" s="37" customFormat="1" ht="12" x14ac:dyDescent="0.2">
      <c r="C88" s="200">
        <v>6535</v>
      </c>
      <c r="D88" s="37" t="s">
        <v>235</v>
      </c>
      <c r="E88" s="39">
        <f>+'FY22'!E88*(1+MYP!$I$10)</f>
        <v>150.858</v>
      </c>
      <c r="F88" s="39">
        <f>+'FY22'!F88*(1+MYP!$I$10)</f>
        <v>150.858</v>
      </c>
      <c r="G88" s="39">
        <f>+'FY22'!G88*(1+MYP!$I$10)</f>
        <v>150.858</v>
      </c>
      <c r="H88" s="39">
        <f>+'FY22'!H88*(1+MYP!$I$10)</f>
        <v>150.858</v>
      </c>
      <c r="I88" s="39">
        <f>+'FY22'!I88*(1+MYP!$I$10)</f>
        <v>150.858</v>
      </c>
      <c r="J88" s="39">
        <f>+'FY22'!J88*(1+MYP!$I$10)</f>
        <v>150.858</v>
      </c>
      <c r="K88" s="39">
        <f>+'FY22'!K88*(1+MYP!$I$10)</f>
        <v>150.858</v>
      </c>
      <c r="L88" s="39">
        <f>+'FY22'!L88*(1+MYP!$I$10)</f>
        <v>150.858</v>
      </c>
      <c r="M88" s="39">
        <f>+'FY22'!M88*(1+MYP!$I$10)</f>
        <v>150.858</v>
      </c>
      <c r="N88" s="39">
        <f>+'FY22'!N88*(1+MYP!$I$10)</f>
        <v>150.858</v>
      </c>
      <c r="O88" s="39">
        <f>+'FY22'!O88*(1+MYP!$I$10)</f>
        <v>150.858</v>
      </c>
      <c r="P88" s="39">
        <f>+'FY22'!P88*(1+MYP!$I$10)</f>
        <v>150.858</v>
      </c>
      <c r="Q88" s="100"/>
      <c r="R88" s="41"/>
      <c r="S88" s="59">
        <f t="shared" si="26"/>
        <v>1810.2959999999996</v>
      </c>
      <c r="T88" s="41"/>
      <c r="U88" s="39">
        <f>'FY22'!S88</f>
        <v>1774.8000000000004</v>
      </c>
      <c r="V88" s="39">
        <f t="shared" si="27"/>
        <v>-35.495999999999185</v>
      </c>
      <c r="W88" s="39"/>
    </row>
    <row r="89" spans="3:23" s="37" customFormat="1" ht="12" x14ac:dyDescent="0.2">
      <c r="C89" s="200">
        <v>6540</v>
      </c>
      <c r="D89" s="37" t="s">
        <v>30</v>
      </c>
      <c r="E89" s="39">
        <f>+'FY22'!E89*(1+MYP!$I$10)</f>
        <v>173.4</v>
      </c>
      <c r="F89" s="39">
        <f>+'FY22'!F89*(1+MYP!$I$10)</f>
        <v>173.4</v>
      </c>
      <c r="G89" s="39">
        <f>+'FY22'!G89*(1+MYP!$I$10)</f>
        <v>173.4</v>
      </c>
      <c r="H89" s="39">
        <f>+'FY22'!H89*(1+MYP!$I$10)</f>
        <v>173.4</v>
      </c>
      <c r="I89" s="39">
        <f>+'FY22'!I89*(1+MYP!$I$10)</f>
        <v>173.4</v>
      </c>
      <c r="J89" s="39">
        <f>+'FY22'!J89*(1+MYP!$I$10)</f>
        <v>173.4</v>
      </c>
      <c r="K89" s="39">
        <f>+'FY22'!K89*(1+MYP!$I$10)</f>
        <v>173.4</v>
      </c>
      <c r="L89" s="39">
        <f>+'FY22'!L89*(1+MYP!$I$10)</f>
        <v>173.4</v>
      </c>
      <c r="M89" s="39">
        <f>+'FY22'!M89*(1+MYP!$I$10)</f>
        <v>173.4</v>
      </c>
      <c r="N89" s="39">
        <f>+'FY22'!N89*(1+MYP!$I$10)</f>
        <v>173.4</v>
      </c>
      <c r="O89" s="39">
        <f>+'FY22'!O89*(1+MYP!$I$10)</f>
        <v>173.4</v>
      </c>
      <c r="P89" s="39">
        <f>+'FY22'!P89*(1+MYP!$I$10)</f>
        <v>173.4</v>
      </c>
      <c r="Q89" s="100"/>
      <c r="R89" s="41"/>
      <c r="S89" s="59">
        <f t="shared" si="26"/>
        <v>2080.8000000000006</v>
      </c>
      <c r="T89" s="41"/>
      <c r="U89" s="39">
        <f>'FY22'!S89</f>
        <v>2040</v>
      </c>
      <c r="V89" s="39">
        <f t="shared" si="27"/>
        <v>-40.800000000000637</v>
      </c>
      <c r="W89" s="39"/>
    </row>
    <row r="90" spans="3:23" s="37" customFormat="1" ht="12" x14ac:dyDescent="0.2">
      <c r="C90" s="200">
        <v>6550</v>
      </c>
      <c r="D90" s="37" t="s">
        <v>31</v>
      </c>
      <c r="E90" s="39">
        <f>+'FY22'!E90*(1+MYP!$I$10)</f>
        <v>0</v>
      </c>
      <c r="F90" s="39">
        <f>+'FY22'!F90*(1+MYP!$I$10)</f>
        <v>0</v>
      </c>
      <c r="G90" s="39">
        <f>+'FY22'!G90*(1+MYP!$I$10)</f>
        <v>0</v>
      </c>
      <c r="H90" s="39">
        <f>+'FY22'!H90*(1+MYP!$I$10)</f>
        <v>0</v>
      </c>
      <c r="I90" s="39">
        <f>+'FY22'!I90*(1+MYP!$I$10)</f>
        <v>0</v>
      </c>
      <c r="J90" s="39">
        <f>+'FY22'!J90*(1+MYP!$I$10)</f>
        <v>0</v>
      </c>
      <c r="K90" s="39">
        <f>+'FY22'!K90*(1+MYP!$I$10)</f>
        <v>0</v>
      </c>
      <c r="L90" s="39">
        <f>+'FY22'!L90*(1+MYP!$I$10)</f>
        <v>0</v>
      </c>
      <c r="M90" s="39">
        <f>+'FY22'!M90*(1+MYP!$I$10)</f>
        <v>0</v>
      </c>
      <c r="N90" s="39">
        <f>+'FY22'!N90*(1+MYP!$I$10)</f>
        <v>0</v>
      </c>
      <c r="O90" s="39">
        <f>+'FY22'!O90*(1+MYP!$I$10)</f>
        <v>0</v>
      </c>
      <c r="P90" s="39">
        <f>+'FY22'!P90*(1+MYP!$I$10)</f>
        <v>0</v>
      </c>
      <c r="Q90" s="100"/>
      <c r="R90" s="41"/>
      <c r="S90" s="59">
        <f t="shared" si="26"/>
        <v>0</v>
      </c>
      <c r="T90" s="41"/>
      <c r="U90" s="39">
        <f>'FY22'!S90</f>
        <v>0</v>
      </c>
      <c r="V90" s="39">
        <f t="shared" si="27"/>
        <v>0</v>
      </c>
      <c r="W90" s="39"/>
    </row>
    <row r="91" spans="3:23" s="37" customFormat="1" ht="12" x14ac:dyDescent="0.2">
      <c r="C91" s="207">
        <v>6568</v>
      </c>
      <c r="D91" s="37" t="s">
        <v>186</v>
      </c>
      <c r="E91" s="39">
        <f>+'FY22'!E91*(1+MYP!$G$8)</f>
        <v>0</v>
      </c>
      <c r="F91" s="39">
        <f>+'FY22'!F91*(1+MYP!$G$8)</f>
        <v>0</v>
      </c>
      <c r="G91" s="39">
        <f>+'FY22'!G91*(1+MYP!$G$8)</f>
        <v>0</v>
      </c>
      <c r="H91" s="39">
        <f>+'FY22'!H91*(1+MYP!$G$8)</f>
        <v>0</v>
      </c>
      <c r="I91" s="39">
        <f>+'FY22'!I91*(1+MYP!$G$8)</f>
        <v>0</v>
      </c>
      <c r="J91" s="39">
        <f>+'FY22'!J91*(1+MYP!$G$8)</f>
        <v>0</v>
      </c>
      <c r="K91" s="39">
        <f>+'FY22'!K91*(1+MYP!$G$8)</f>
        <v>0</v>
      </c>
      <c r="L91" s="39">
        <f>+'FY22'!L91*(1+MYP!$G$8)</f>
        <v>0</v>
      </c>
      <c r="M91" s="39">
        <f>+'FY22'!M91*(1+MYP!$G$8)</f>
        <v>0</v>
      </c>
      <c r="N91" s="39">
        <f>+'FY22'!N91*(1+MYP!$G$8)</f>
        <v>0</v>
      </c>
      <c r="O91" s="39">
        <f>+'FY22'!O91*(1+MYP!$G$8)</f>
        <v>0</v>
      </c>
      <c r="P91" s="39">
        <f>+'FY22'!P91*(1+MYP!$G$8)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'FY22'!S91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200">
        <v>6569</v>
      </c>
      <c r="D92" s="37" t="s">
        <v>32</v>
      </c>
      <c r="E92" s="39">
        <f>+'FY22'!E92*(1+MYP!$G$8)</f>
        <v>0</v>
      </c>
      <c r="F92" s="39">
        <f>+'FY22'!F92*(1+MYP!$G$8)</f>
        <v>0</v>
      </c>
      <c r="G92" s="39">
        <f>+'FY22'!G92*(1+MYP!$G$8)</f>
        <v>0</v>
      </c>
      <c r="H92" s="39">
        <f>+'FY22'!H92*(1+MYP!$G$8)</f>
        <v>144703.125</v>
      </c>
      <c r="I92" s="39">
        <f>+'FY22'!I92*(1+MYP!$G$8)</f>
        <v>130370.625</v>
      </c>
      <c r="J92" s="39">
        <f>+'FY22'!J92*(1+MYP!$G$8)</f>
        <v>-11025</v>
      </c>
      <c r="K92" s="39">
        <f>+'FY22'!K92*(1+MYP!$G$8)</f>
        <v>0</v>
      </c>
      <c r="L92" s="39">
        <f>+'FY22'!L92*(1+MYP!$G$8)</f>
        <v>0</v>
      </c>
      <c r="M92" s="39">
        <f>+'FY22'!M92*(1+MYP!$G$8)</f>
        <v>167028.75</v>
      </c>
      <c r="N92" s="39">
        <f>+'FY22'!N92*(1+MYP!$G$8)</f>
        <v>152696.25</v>
      </c>
      <c r="O92" s="39">
        <f>+'FY22'!O92*(1+MYP!$G$8)</f>
        <v>-11025</v>
      </c>
      <c r="P92" s="39">
        <f>+'FY22'!P92*(1+MYP!$G$8)</f>
        <v>0</v>
      </c>
      <c r="Q92" s="100"/>
      <c r="R92" s="41"/>
      <c r="S92" s="59">
        <f t="shared" si="26"/>
        <v>572748.75</v>
      </c>
      <c r="T92" s="41"/>
      <c r="U92" s="39">
        <f>'FY22'!S92</f>
        <v>545475</v>
      </c>
      <c r="V92" s="39">
        <f t="shared" si="27"/>
        <v>-27273.75</v>
      </c>
      <c r="W92" s="39"/>
    </row>
    <row r="93" spans="3:23" s="37" customFormat="1" ht="12" x14ac:dyDescent="0.2">
      <c r="C93" s="200">
        <v>6580</v>
      </c>
      <c r="D93" s="37" t="s">
        <v>33</v>
      </c>
      <c r="E93" s="39">
        <f>+'FY22'!E93*(1+MYP!$I$10)</f>
        <v>0</v>
      </c>
      <c r="F93" s="39">
        <f>+'FY22'!F93*(1+MYP!$I$10)</f>
        <v>0</v>
      </c>
      <c r="G93" s="39">
        <f>+'FY22'!G93*(1+MYP!$I$10)</f>
        <v>0</v>
      </c>
      <c r="H93" s="39">
        <f>+'FY22'!H93*(1+MYP!$I$10)</f>
        <v>0</v>
      </c>
      <c r="I93" s="39">
        <f>+'FY22'!I93*(1+MYP!$I$10)</f>
        <v>0</v>
      </c>
      <c r="J93" s="39">
        <f>+'FY22'!J93*(1+MYP!$I$10)</f>
        <v>0</v>
      </c>
      <c r="K93" s="39">
        <f>+'FY22'!K93*(1+MYP!$I$10)</f>
        <v>0</v>
      </c>
      <c r="L93" s="39">
        <f>+'FY22'!L93*(1+MYP!$I$10)</f>
        <v>0</v>
      </c>
      <c r="M93" s="39">
        <f>+'FY22'!M93*(1+MYP!$I$10)</f>
        <v>0</v>
      </c>
      <c r="N93" s="39">
        <f>+'FY22'!N93*(1+MYP!$I$10)</f>
        <v>0</v>
      </c>
      <c r="O93" s="39">
        <f>+'FY22'!O93*(1+MYP!$I$10)</f>
        <v>0</v>
      </c>
      <c r="P93" s="39">
        <f>+'FY22'!P93*(1+MYP!$I$10)</f>
        <v>0</v>
      </c>
      <c r="Q93" s="100"/>
      <c r="R93" s="41"/>
      <c r="S93" s="59">
        <f t="shared" si="26"/>
        <v>0</v>
      </c>
      <c r="T93" s="41"/>
      <c r="U93" s="39">
        <f>'FY22'!S93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514.99800000000005</v>
      </c>
      <c r="F94" s="50">
        <f t="shared" ref="F94:V94" si="30">SUBTOTAL(9,F82:F93)</f>
        <v>4468.518</v>
      </c>
      <c r="G94" s="50">
        <f t="shared" si="30"/>
        <v>514.99800000000005</v>
      </c>
      <c r="H94" s="50">
        <f t="shared" si="30"/>
        <v>145218.12299999999</v>
      </c>
      <c r="I94" s="50">
        <f t="shared" si="30"/>
        <v>130885.62300000001</v>
      </c>
      <c r="J94" s="50">
        <f t="shared" si="30"/>
        <v>-10510.002</v>
      </c>
      <c r="K94" s="50">
        <f t="shared" si="30"/>
        <v>514.99800000000005</v>
      </c>
      <c r="L94" s="50">
        <f t="shared" si="30"/>
        <v>514.99800000000005</v>
      </c>
      <c r="M94" s="50">
        <f t="shared" si="30"/>
        <v>167543.74799999999</v>
      </c>
      <c r="N94" s="50">
        <f t="shared" si="30"/>
        <v>153211.24799999999</v>
      </c>
      <c r="O94" s="50">
        <f t="shared" si="30"/>
        <v>-10510.002</v>
      </c>
      <c r="P94" s="50">
        <f t="shared" si="30"/>
        <v>514.99800000000005</v>
      </c>
      <c r="Q94" s="99"/>
      <c r="R94" s="41"/>
      <c r="S94" s="61">
        <f t="shared" si="30"/>
        <v>582882.24600000004</v>
      </c>
      <c r="T94" s="41"/>
      <c r="U94" s="50">
        <f t="shared" si="30"/>
        <v>555409.80000000005</v>
      </c>
      <c r="V94" s="50">
        <f t="shared" si="30"/>
        <v>-27472.446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200">
        <v>6610</v>
      </c>
      <c r="D96" s="37" t="s">
        <v>34</v>
      </c>
      <c r="E96" s="39">
        <f>+'FY22'!E96*(1+MYP!$I$10)</f>
        <v>520.20000000000005</v>
      </c>
      <c r="F96" s="39">
        <f>+'FY22'!F96*(1+MYP!$I$10)</f>
        <v>520.20000000000005</v>
      </c>
      <c r="G96" s="39">
        <f>+'FY22'!G96*(1+MYP!$I$10)</f>
        <v>520.20000000000005</v>
      </c>
      <c r="H96" s="39">
        <f>+'FY22'!H96*(1+MYP!$I$10)</f>
        <v>919.71360000000004</v>
      </c>
      <c r="I96" s="39">
        <f>+'FY22'!I96*(1+MYP!$I$10)</f>
        <v>520.20000000000005</v>
      </c>
      <c r="J96" s="39">
        <f>+'FY22'!J96*(1+MYP!$I$10)</f>
        <v>520.20000000000005</v>
      </c>
      <c r="K96" s="39">
        <f>+'FY22'!K96*(1+MYP!$I$10)</f>
        <v>520.20000000000005</v>
      </c>
      <c r="L96" s="39">
        <f>+'FY22'!L96*(1+MYP!$I$10)</f>
        <v>520.20000000000005</v>
      </c>
      <c r="M96" s="39">
        <f>+'FY22'!M96*(1+MYP!$I$10)</f>
        <v>520.20000000000005</v>
      </c>
      <c r="N96" s="39">
        <f>+'FY22'!N96*(1+MYP!$I$10)</f>
        <v>520.20000000000005</v>
      </c>
      <c r="O96" s="39">
        <f>+'FY22'!O96*(1+MYP!$I$10)</f>
        <v>520.20000000000005</v>
      </c>
      <c r="P96" s="39">
        <f>+'FY22'!P96*(1+MYP!$I$10)</f>
        <v>520.20000000000005</v>
      </c>
      <c r="Q96" s="100"/>
      <c r="R96" s="41"/>
      <c r="S96" s="59">
        <f t="shared" ref="S96:S102" si="31">SUM(E96:Q96)</f>
        <v>6641.913599999999</v>
      </c>
      <c r="T96" s="41"/>
      <c r="U96" s="39">
        <f>'FY22'!S96</f>
        <v>6511.68</v>
      </c>
      <c r="V96" s="39">
        <f t="shared" ref="V96:V102" si="32">U96-S96</f>
        <v>-130.23359999999866</v>
      </c>
      <c r="W96" s="39"/>
    </row>
    <row r="97" spans="3:23" s="37" customFormat="1" ht="12" x14ac:dyDescent="0.2">
      <c r="C97" s="200">
        <v>6612</v>
      </c>
      <c r="D97" s="37" t="s">
        <v>35</v>
      </c>
      <c r="E97" s="39">
        <f>+'FY22'!E97*(1+MYP!$I$10)</f>
        <v>0</v>
      </c>
      <c r="F97" s="39">
        <f>+'FY22'!F97*(1+MYP!$I$10)</f>
        <v>0</v>
      </c>
      <c r="G97" s="39">
        <f>+'FY22'!G97*(1+MYP!$I$10)</f>
        <v>0</v>
      </c>
      <c r="H97" s="39">
        <f>+'FY22'!H97*(1+MYP!$I$10)</f>
        <v>0</v>
      </c>
      <c r="I97" s="39">
        <f>+'FY22'!I97*(1+MYP!$I$10)</f>
        <v>0</v>
      </c>
      <c r="J97" s="39">
        <f>+'FY22'!J97*(1+MYP!$I$10)</f>
        <v>0</v>
      </c>
      <c r="K97" s="39">
        <f>+'FY22'!K97*(1+MYP!$I$10)</f>
        <v>0</v>
      </c>
      <c r="L97" s="39">
        <f>+'FY22'!L97*(1+MYP!$I$10)</f>
        <v>0</v>
      </c>
      <c r="M97" s="39">
        <f>+'FY22'!M97*(1+MYP!$I$10)</f>
        <v>0</v>
      </c>
      <c r="N97" s="39">
        <f>+'FY22'!N97*(1+MYP!$I$10)</f>
        <v>0</v>
      </c>
      <c r="O97" s="39">
        <f>+'FY22'!O97*(1+MYP!$I$10)</f>
        <v>0</v>
      </c>
      <c r="P97" s="39">
        <f>+'FY22'!P97*(1+MYP!$I$10)</f>
        <v>0</v>
      </c>
      <c r="Q97" s="100"/>
      <c r="R97" s="41"/>
      <c r="S97" s="59">
        <f t="shared" si="31"/>
        <v>0</v>
      </c>
      <c r="T97" s="41"/>
      <c r="U97" s="39">
        <f>'FY22'!S97</f>
        <v>0</v>
      </c>
      <c r="V97" s="39">
        <f t="shared" si="32"/>
        <v>0</v>
      </c>
      <c r="W97" s="39"/>
    </row>
    <row r="98" spans="3:23" s="37" customFormat="1" ht="12" x14ac:dyDescent="0.2">
      <c r="C98" s="200">
        <v>6622</v>
      </c>
      <c r="D98" s="37" t="s">
        <v>36</v>
      </c>
      <c r="E98" s="39">
        <f>+'FY22'!E98*(1+MYP!$I$10)</f>
        <v>832.32</v>
      </c>
      <c r="F98" s="39">
        <f>+'FY22'!F98*(1+MYP!$I$10)</f>
        <v>832.32</v>
      </c>
      <c r="G98" s="39">
        <f>+'FY22'!G98*(1+MYP!$I$10)</f>
        <v>832.32</v>
      </c>
      <c r="H98" s="39">
        <f>+'FY22'!H98*(1+MYP!$I$10)</f>
        <v>832.32</v>
      </c>
      <c r="I98" s="39">
        <f>+'FY22'!I98*(1+MYP!$I$10)</f>
        <v>832.32</v>
      </c>
      <c r="J98" s="39">
        <f>+'FY22'!J98*(1+MYP!$I$10)</f>
        <v>832.32</v>
      </c>
      <c r="K98" s="39">
        <f>+'FY22'!K98*(1+MYP!$I$10)</f>
        <v>832.32</v>
      </c>
      <c r="L98" s="39">
        <f>+'FY22'!L98*(1+MYP!$I$10)</f>
        <v>832.32</v>
      </c>
      <c r="M98" s="39">
        <f>+'FY22'!M98*(1+MYP!$I$10)</f>
        <v>832.32</v>
      </c>
      <c r="N98" s="39">
        <f>+'FY22'!N98*(1+MYP!$I$10)</f>
        <v>832.32</v>
      </c>
      <c r="O98" s="39">
        <f>+'FY22'!O98*(1+MYP!$I$10)</f>
        <v>832.32</v>
      </c>
      <c r="P98" s="39">
        <f>+'FY22'!P98*(1+MYP!$I$10)</f>
        <v>832.32</v>
      </c>
      <c r="Q98" s="100"/>
      <c r="R98" s="41"/>
      <c r="S98" s="59">
        <f t="shared" si="31"/>
        <v>9987.8399999999983</v>
      </c>
      <c r="T98" s="41"/>
      <c r="U98" s="39">
        <f>'FY22'!S98</f>
        <v>9792</v>
      </c>
      <c r="V98" s="39">
        <f t="shared" si="32"/>
        <v>-195.83999999999833</v>
      </c>
      <c r="W98" s="39"/>
    </row>
    <row r="99" spans="3:23" s="37" customFormat="1" ht="12" x14ac:dyDescent="0.2">
      <c r="C99" s="200">
        <v>6641</v>
      </c>
      <c r="D99" s="37" t="s">
        <v>37</v>
      </c>
      <c r="E99" s="39">
        <f>+'FY22'!E99*(1+MYP!$G$8)</f>
        <v>0</v>
      </c>
      <c r="F99" s="39">
        <f>+'FY22'!F99*(1+MYP!$G$8)</f>
        <v>0</v>
      </c>
      <c r="G99" s="39">
        <f>+'FY22'!G99*(1+MYP!$G$8)</f>
        <v>0</v>
      </c>
      <c r="H99" s="39">
        <f>+'FY22'!H99*(1+MYP!$G$8)</f>
        <v>26184.375</v>
      </c>
      <c r="I99" s="39">
        <f>+'FY22'!I99*(1+MYP!$G$8)</f>
        <v>7441.875</v>
      </c>
      <c r="J99" s="39">
        <f>+'FY22'!J99*(1+MYP!$G$8)</f>
        <v>0</v>
      </c>
      <c r="K99" s="39">
        <f>+'FY22'!K99*(1+MYP!$G$8)</f>
        <v>0</v>
      </c>
      <c r="L99" s="39">
        <f>+'FY22'!L99*(1+MYP!$G$8)</f>
        <v>0</v>
      </c>
      <c r="M99" s="39">
        <f>+'FY22'!M99*(1+MYP!$G$8)</f>
        <v>0</v>
      </c>
      <c r="N99" s="39">
        <f>+'FY22'!N99*(1+MYP!$G$8)</f>
        <v>9674.4375</v>
      </c>
      <c r="O99" s="39">
        <f>+'FY22'!O99*(1+MYP!$G$8)</f>
        <v>9674.4375</v>
      </c>
      <c r="P99" s="39">
        <f>+'FY22'!P99*(1+MYP!$G$8)</f>
        <v>0</v>
      </c>
      <c r="Q99" s="100"/>
      <c r="R99" s="41"/>
      <c r="S99" s="59">
        <f t="shared" si="31"/>
        <v>52975.125</v>
      </c>
      <c r="T99" s="41"/>
      <c r="U99" s="39">
        <f>'FY22'!S99</f>
        <v>50452.5</v>
      </c>
      <c r="V99" s="39">
        <f t="shared" si="32"/>
        <v>-2522.625</v>
      </c>
      <c r="W99" s="39"/>
    </row>
    <row r="100" spans="3:23" s="37" customFormat="1" ht="12" x14ac:dyDescent="0.2">
      <c r="C100" s="200">
        <v>6642</v>
      </c>
      <c r="D100" s="37" t="s">
        <v>38</v>
      </c>
      <c r="E100" s="39">
        <f>+'FY22'!E100*(1+MYP!$G$8)</f>
        <v>0</v>
      </c>
      <c r="F100" s="39">
        <f>+'FY22'!F100*(1+MYP!$G$8)</f>
        <v>0</v>
      </c>
      <c r="G100" s="39">
        <f>+'FY22'!G100*(1+MYP!$G$8)</f>
        <v>0</v>
      </c>
      <c r="H100" s="39">
        <f>+'FY22'!H100*(1+MYP!$G$8)</f>
        <v>14883.75</v>
      </c>
      <c r="I100" s="39">
        <f>+'FY22'!I100*(1+MYP!$G$8)</f>
        <v>14883.75</v>
      </c>
      <c r="J100" s="39">
        <f>+'FY22'!J100*(1+MYP!$G$8)</f>
        <v>0</v>
      </c>
      <c r="K100" s="39">
        <f>+'FY22'!K100*(1+MYP!$G$8)</f>
        <v>0</v>
      </c>
      <c r="L100" s="39">
        <f>+'FY22'!L100*(1+MYP!$G$8)</f>
        <v>0</v>
      </c>
      <c r="M100" s="39">
        <f>+'FY22'!M100*(1+MYP!$G$8)</f>
        <v>0</v>
      </c>
      <c r="N100" s="39">
        <f>+'FY22'!N100*(1+MYP!$G$8)</f>
        <v>20093.0625</v>
      </c>
      <c r="O100" s="39">
        <f>+'FY22'!O100*(1+MYP!$G$8)</f>
        <v>20093.0625</v>
      </c>
      <c r="P100" s="39">
        <f>+'FY22'!P100*(1+MYP!$G$8)</f>
        <v>0</v>
      </c>
      <c r="Q100" s="100"/>
      <c r="R100" s="41"/>
      <c r="S100" s="59">
        <f t="shared" si="31"/>
        <v>69953.625</v>
      </c>
      <c r="T100" s="41"/>
      <c r="U100" s="39">
        <f>'FY22'!S100</f>
        <v>66622.5</v>
      </c>
      <c r="V100" s="39">
        <f t="shared" si="32"/>
        <v>-3331.125</v>
      </c>
      <c r="W100" s="39"/>
    </row>
    <row r="101" spans="3:23" s="37" customFormat="1" ht="12" x14ac:dyDescent="0.2">
      <c r="C101" s="200">
        <v>6651</v>
      </c>
      <c r="D101" s="37" t="s">
        <v>39</v>
      </c>
      <c r="E101" s="39">
        <f>+'FY22'!E101*(1+MYP!$I$10)</f>
        <v>0</v>
      </c>
      <c r="F101" s="39">
        <f>+'FY22'!F101*(1+MYP!$I$10)</f>
        <v>0</v>
      </c>
      <c r="G101" s="39">
        <f>+'FY22'!G101*(1+MYP!$I$10)</f>
        <v>0</v>
      </c>
      <c r="H101" s="39">
        <f>+'FY22'!H101*(1+MYP!$I$10)</f>
        <v>0</v>
      </c>
      <c r="I101" s="39">
        <f>+'FY22'!I101*(1+MYP!$I$10)</f>
        <v>0</v>
      </c>
      <c r="J101" s="39">
        <f>+'FY22'!J101*(1+MYP!$I$10)</f>
        <v>0</v>
      </c>
      <c r="K101" s="39">
        <f>+'FY22'!K101*(1+MYP!$I$10)</f>
        <v>0</v>
      </c>
      <c r="L101" s="39">
        <f>+'FY22'!L101*(1+MYP!$I$10)</f>
        <v>0</v>
      </c>
      <c r="M101" s="39">
        <f>+'FY22'!M101*(1+MYP!$I$10)</f>
        <v>0</v>
      </c>
      <c r="N101" s="39">
        <f>+'FY22'!N101*(1+MYP!$I$10)</f>
        <v>0</v>
      </c>
      <c r="O101" s="39">
        <f>+'FY22'!O101*(1+MYP!$I$10)</f>
        <v>0</v>
      </c>
      <c r="P101" s="39">
        <f>+'FY22'!P101*(1+MYP!$I$10)</f>
        <v>0</v>
      </c>
      <c r="Q101" s="100"/>
      <c r="R101" s="41"/>
      <c r="S101" s="59">
        <f t="shared" si="31"/>
        <v>0</v>
      </c>
      <c r="T101" s="41"/>
      <c r="U101" s="39">
        <f>'FY22'!S101</f>
        <v>0</v>
      </c>
      <c r="V101" s="39">
        <f t="shared" si="32"/>
        <v>0</v>
      </c>
      <c r="W101" s="39"/>
    </row>
    <row r="102" spans="3:23" s="37" customFormat="1" ht="12" x14ac:dyDescent="0.2">
      <c r="C102" s="200">
        <v>6652</v>
      </c>
      <c r="D102" s="37" t="s">
        <v>40</v>
      </c>
      <c r="E102" s="39">
        <f>+'FY22'!E102*(1+MYP!$I$10)</f>
        <v>0</v>
      </c>
      <c r="F102" s="39">
        <f>+'FY22'!F102*(1+MYP!$I$10)</f>
        <v>0</v>
      </c>
      <c r="G102" s="39">
        <f>+'FY22'!G102*(1+MYP!$I$10)</f>
        <v>0</v>
      </c>
      <c r="H102" s="39">
        <f>+'FY22'!H102*(1+MYP!$I$10)</f>
        <v>0</v>
      </c>
      <c r="I102" s="39">
        <f>+'FY22'!I102*(1+MYP!$I$10)</f>
        <v>0</v>
      </c>
      <c r="J102" s="39">
        <f>+'FY22'!J102*(1+MYP!$I$10)</f>
        <v>0</v>
      </c>
      <c r="K102" s="39">
        <f>+'FY22'!K102*(1+MYP!$I$10)</f>
        <v>0</v>
      </c>
      <c r="L102" s="39">
        <f>+'FY22'!L102*(1+MYP!$I$10)</f>
        <v>0</v>
      </c>
      <c r="M102" s="39">
        <f>+'FY22'!M102*(1+MYP!$I$10)</f>
        <v>0</v>
      </c>
      <c r="N102" s="39">
        <f>+'FY22'!N102*(1+MYP!$I$10)</f>
        <v>0</v>
      </c>
      <c r="O102" s="39">
        <f>+'FY22'!O102*(1+MYP!$I$10)</f>
        <v>0</v>
      </c>
      <c r="P102" s="39">
        <f>+'FY22'!P102*(1+MYP!$I$10)</f>
        <v>0</v>
      </c>
      <c r="Q102" s="100"/>
      <c r="R102" s="41"/>
      <c r="S102" s="59">
        <f t="shared" si="31"/>
        <v>0</v>
      </c>
      <c r="T102" s="41"/>
      <c r="U102" s="39">
        <f>'FY22'!S102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1352.52</v>
      </c>
      <c r="F103" s="50">
        <f t="shared" ref="F103:V103" si="33">SUBTOTAL(9,F96:F102)</f>
        <v>1352.52</v>
      </c>
      <c r="G103" s="50">
        <f t="shared" si="33"/>
        <v>1352.52</v>
      </c>
      <c r="H103" s="50">
        <f t="shared" si="33"/>
        <v>42820.158599999995</v>
      </c>
      <c r="I103" s="50">
        <f t="shared" si="33"/>
        <v>23678.145</v>
      </c>
      <c r="J103" s="50">
        <f t="shared" si="33"/>
        <v>1352.52</v>
      </c>
      <c r="K103" s="50">
        <f t="shared" si="33"/>
        <v>1352.52</v>
      </c>
      <c r="L103" s="50">
        <f t="shared" si="33"/>
        <v>1352.52</v>
      </c>
      <c r="M103" s="50">
        <f t="shared" si="33"/>
        <v>1352.52</v>
      </c>
      <c r="N103" s="50">
        <f t="shared" si="33"/>
        <v>31120.02</v>
      </c>
      <c r="O103" s="50">
        <f t="shared" si="33"/>
        <v>31120.02</v>
      </c>
      <c r="P103" s="50">
        <f t="shared" si="33"/>
        <v>1352.52</v>
      </c>
      <c r="Q103" s="99"/>
      <c r="R103" s="41"/>
      <c r="S103" s="61">
        <f t="shared" si="33"/>
        <v>139558.5036</v>
      </c>
      <c r="T103" s="41"/>
      <c r="U103" s="50">
        <f t="shared" si="33"/>
        <v>133378.68</v>
      </c>
      <c r="V103" s="50">
        <f t="shared" si="33"/>
        <v>-6179.823599999997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200">
        <v>6734</v>
      </c>
      <c r="D105" s="37" t="s">
        <v>41</v>
      </c>
      <c r="E105" s="39">
        <f>+'FY22'!E105*(1+MYP!$I$10)</f>
        <v>0</v>
      </c>
      <c r="F105" s="39">
        <f>+'FY22'!F105*(1+MYP!$I$10)</f>
        <v>0</v>
      </c>
      <c r="G105" s="39">
        <f>+'FY22'!G105*(1+MYP!$I$10)</f>
        <v>0</v>
      </c>
      <c r="H105" s="39">
        <f>+'FY22'!H105*(1+MYP!$I$10)</f>
        <v>0</v>
      </c>
      <c r="I105" s="39">
        <f>+'FY22'!I105*(1+MYP!$I$10)</f>
        <v>0</v>
      </c>
      <c r="J105" s="39">
        <f>+'FY22'!J105*(1+MYP!$I$10)</f>
        <v>0</v>
      </c>
      <c r="K105" s="39">
        <f>+'FY22'!K105*(1+MYP!$I$10)</f>
        <v>0</v>
      </c>
      <c r="L105" s="39">
        <f>+'FY22'!L105*(1+MYP!$I$10)</f>
        <v>0</v>
      </c>
      <c r="M105" s="39">
        <f>+'FY22'!M105*(1+MYP!$I$10)</f>
        <v>0</v>
      </c>
      <c r="N105" s="39">
        <f>+'FY22'!N105*(1+MYP!$I$10)</f>
        <v>0</v>
      </c>
      <c r="O105" s="39">
        <f>+'FY22'!O105*(1+MYP!$I$10)</f>
        <v>0</v>
      </c>
      <c r="P105" s="39">
        <f>+'FY22'!P105*(1+MYP!$I$10)</f>
        <v>0</v>
      </c>
      <c r="Q105" s="100"/>
      <c r="R105" s="41"/>
      <c r="S105" s="59">
        <f t="shared" ref="S105" si="34">SUM(E105:Q105)</f>
        <v>0</v>
      </c>
      <c r="T105" s="41"/>
      <c r="U105" s="39">
        <f>'FY22'!S105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200">
        <v>6810</v>
      </c>
      <c r="D108" s="37" t="s">
        <v>42</v>
      </c>
      <c r="E108" s="39">
        <f>+'FY22'!E108*(1+MYP!$I$10)</f>
        <v>197.67600000000002</v>
      </c>
      <c r="F108" s="39">
        <f>+'FY22'!F108*(1+MYP!$I$10)</f>
        <v>72.828000000000003</v>
      </c>
      <c r="G108" s="39">
        <f>+'FY22'!G108*(1+MYP!$I$10)</f>
        <v>1321.3080000000002</v>
      </c>
      <c r="H108" s="39">
        <f>+'FY22'!H108*(1+MYP!$I$10)</f>
        <v>10.404</v>
      </c>
      <c r="I108" s="39">
        <f>+'FY22'!I108*(1+MYP!$I$10)</f>
        <v>10.404</v>
      </c>
      <c r="J108" s="39">
        <f>+'FY22'!J108*(1+MYP!$I$10)</f>
        <v>72.828000000000003</v>
      </c>
      <c r="K108" s="39">
        <f>+'FY22'!K108*(1+MYP!$I$10)</f>
        <v>72.828000000000003</v>
      </c>
      <c r="L108" s="39">
        <f>+'FY22'!L108*(1+MYP!$I$10)</f>
        <v>104.04</v>
      </c>
      <c r="M108" s="39">
        <f>+'FY22'!M108*(1+MYP!$I$10)</f>
        <v>329.80680000000007</v>
      </c>
      <c r="N108" s="39">
        <f>+'FY22'!N108*(1+MYP!$I$10)</f>
        <v>10.404</v>
      </c>
      <c r="O108" s="39">
        <f>+'FY22'!O108*(1+MYP!$I$10)</f>
        <v>10.404</v>
      </c>
      <c r="P108" s="39">
        <f>+'FY22'!P108*(1+MYP!$I$10)</f>
        <v>10.404</v>
      </c>
      <c r="Q108" s="100"/>
      <c r="R108" s="41"/>
      <c r="S108" s="59">
        <f t="shared" ref="S108" si="37">SUM(E108:Q108)</f>
        <v>2223.3348000000001</v>
      </c>
      <c r="T108" s="41"/>
      <c r="U108" s="39">
        <f>'FY22'!S108</f>
        <v>2179.7399999999998</v>
      </c>
      <c r="V108" s="39">
        <f t="shared" ref="V108" si="38">U108-S108</f>
        <v>-43.594800000000305</v>
      </c>
      <c r="W108" s="39"/>
    </row>
    <row r="109" spans="3:23" s="37" customFormat="1" ht="12" x14ac:dyDescent="0.2">
      <c r="C109" s="38"/>
      <c r="E109" s="50">
        <f>SUBTOTAL(9,E108)</f>
        <v>197.67600000000002</v>
      </c>
      <c r="F109" s="50">
        <f t="shared" ref="F109:P109" si="39">SUBTOTAL(9,F108)</f>
        <v>72.828000000000003</v>
      </c>
      <c r="G109" s="50">
        <f t="shared" si="39"/>
        <v>1321.3080000000002</v>
      </c>
      <c r="H109" s="50">
        <f t="shared" si="39"/>
        <v>10.404</v>
      </c>
      <c r="I109" s="50">
        <f t="shared" si="39"/>
        <v>10.404</v>
      </c>
      <c r="J109" s="50">
        <f t="shared" si="39"/>
        <v>72.828000000000003</v>
      </c>
      <c r="K109" s="50">
        <f t="shared" si="39"/>
        <v>72.828000000000003</v>
      </c>
      <c r="L109" s="50">
        <f t="shared" si="39"/>
        <v>104.04</v>
      </c>
      <c r="M109" s="50">
        <f t="shared" si="39"/>
        <v>329.80680000000007</v>
      </c>
      <c r="N109" s="50">
        <f t="shared" si="39"/>
        <v>10.404</v>
      </c>
      <c r="O109" s="50">
        <f t="shared" si="39"/>
        <v>10.404</v>
      </c>
      <c r="P109" s="50">
        <f t="shared" si="39"/>
        <v>10.404</v>
      </c>
      <c r="Q109" s="99"/>
      <c r="R109" s="41"/>
      <c r="S109" s="61">
        <f t="shared" ref="S109" si="40">SUBTOTAL(9,S108)</f>
        <v>2223.3348000000001</v>
      </c>
      <c r="T109" s="41"/>
      <c r="U109" s="50">
        <f t="shared" ref="U109:V109" si="41">SUBTOTAL(9,U108)</f>
        <v>2179.7399999999998</v>
      </c>
      <c r="V109" s="50">
        <f t="shared" si="41"/>
        <v>-43.594800000000305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200">
        <v>7306</v>
      </c>
      <c r="D111" s="37" t="s">
        <v>43</v>
      </c>
      <c r="E111" s="39">
        <f>+'FY22'!E111*(1+MYP!$I$10)</f>
        <v>0</v>
      </c>
      <c r="F111" s="39">
        <f>+'FY22'!F111*(1+MYP!$I$10)</f>
        <v>0</v>
      </c>
      <c r="G111" s="39">
        <f>+'FY22'!G111*(1+MYP!$I$10)</f>
        <v>0</v>
      </c>
      <c r="H111" s="39">
        <f>+'FY22'!H111*(1+MYP!$I$10)</f>
        <v>0</v>
      </c>
      <c r="I111" s="39">
        <f>+'FY22'!I111*(1+MYP!$I$10)</f>
        <v>0</v>
      </c>
      <c r="J111" s="39">
        <f>+'FY22'!J111*(1+MYP!$I$10)</f>
        <v>0</v>
      </c>
      <c r="K111" s="39">
        <f>+'FY22'!K111*(1+MYP!$I$10)</f>
        <v>0</v>
      </c>
      <c r="L111" s="39">
        <f>+'FY22'!L111*(1+MYP!$I$10)</f>
        <v>0</v>
      </c>
      <c r="M111" s="39">
        <f>+'FY22'!M111*(1+MYP!$I$10)</f>
        <v>0</v>
      </c>
      <c r="N111" s="39">
        <f>+'FY22'!N111*(1+MYP!$I$10)</f>
        <v>0</v>
      </c>
      <c r="O111" s="39">
        <f>+'FY22'!O111*(1+MYP!$I$10)</f>
        <v>0</v>
      </c>
      <c r="P111" s="39">
        <f>+'FY22'!P111*(1+MYP!$I$10)</f>
        <v>0</v>
      </c>
      <c r="Q111" s="100"/>
      <c r="R111" s="41"/>
      <c r="S111" s="62">
        <f t="shared" ref="S111:S112" si="42">SUM(E111:Q111)</f>
        <v>0</v>
      </c>
      <c r="T111" s="41"/>
      <c r="U111" s="41">
        <f>'FY22'!S111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177</v>
      </c>
      <c r="E112" s="39">
        <f>+'FY22'!E112*(1+MYP!$I$10)</f>
        <v>0</v>
      </c>
      <c r="F112" s="39">
        <f>+'FY22'!F112*(1+MYP!$I$10)</f>
        <v>0</v>
      </c>
      <c r="G112" s="39">
        <f>+'FY22'!G112*(1+MYP!$I$10)</f>
        <v>0</v>
      </c>
      <c r="H112" s="39">
        <f>+'FY22'!H112*(1+MYP!$I$10)</f>
        <v>0</v>
      </c>
      <c r="I112" s="39">
        <f>+'FY22'!I112*(1+MYP!$I$10)</f>
        <v>0</v>
      </c>
      <c r="J112" s="39">
        <f>+'FY22'!J112*(1+MYP!$I$10)</f>
        <v>0</v>
      </c>
      <c r="K112" s="39">
        <f>+'FY22'!K112*(1+MYP!$I$10)</f>
        <v>0</v>
      </c>
      <c r="L112" s="39">
        <f>+'FY22'!L112*(1+MYP!$I$10)</f>
        <v>0</v>
      </c>
      <c r="M112" s="39">
        <f>+'FY22'!M112*(1+MYP!$I$10)</f>
        <v>0</v>
      </c>
      <c r="N112" s="39">
        <f>+'FY22'!N112*(1+MYP!$I$10)</f>
        <v>0</v>
      </c>
      <c r="O112" s="39">
        <f>+'FY22'!O112*(1+MYP!$I$10)</f>
        <v>0</v>
      </c>
      <c r="P112" s="39">
        <f>+'FY22'!P112*(1+MYP!$I$10)</f>
        <v>0</v>
      </c>
      <c r="Q112" s="100"/>
      <c r="R112" s="41"/>
      <c r="S112" s="62">
        <f t="shared" si="42"/>
        <v>0</v>
      </c>
      <c r="T112" s="41"/>
      <c r="U112" s="41">
        <f>'FY22'!S112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108139.57633204274</v>
      </c>
      <c r="F115" s="43">
        <f t="shared" si="46"/>
        <v>52580.977332042741</v>
      </c>
      <c r="G115" s="43">
        <f t="shared" si="46"/>
        <v>54583.846690242746</v>
      </c>
      <c r="H115" s="43">
        <f t="shared" si="46"/>
        <v>238744.22404204274</v>
      </c>
      <c r="I115" s="43">
        <f t="shared" si="46"/>
        <v>202980.66970024278</v>
      </c>
      <c r="J115" s="43">
        <f t="shared" si="46"/>
        <v>39069.577392042738</v>
      </c>
      <c r="K115" s="43">
        <f t="shared" si="46"/>
        <v>52427.643700242748</v>
      </c>
      <c r="L115" s="43">
        <f t="shared" si="46"/>
        <v>51033.512382042747</v>
      </c>
      <c r="M115" s="43">
        <f t="shared" si="46"/>
        <v>219996.85549024274</v>
      </c>
      <c r="N115" s="43">
        <f t="shared" si="46"/>
        <v>232009.32964024277</v>
      </c>
      <c r="O115" s="43">
        <f t="shared" si="46"/>
        <v>69591.065676042737</v>
      </c>
      <c r="P115" s="43">
        <f t="shared" si="46"/>
        <v>52989.318726042758</v>
      </c>
      <c r="Q115" s="47"/>
      <c r="R115" s="48"/>
      <c r="S115" s="60">
        <f>SUBTOTAL(9,S30:S114)</f>
        <v>1374146.5971035133</v>
      </c>
      <c r="T115" s="48"/>
      <c r="U115" s="43">
        <f>SUBTOTAL(9,U30:U114)</f>
        <v>1327800.51676815</v>
      </c>
      <c r="V115" s="43">
        <f>SUBTOTAL(9,V30:V114)</f>
        <v>-46346.080335363025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2">
        <f t="shared" ref="E117:P117" si="47">E27-E115</f>
        <v>14502.52366795727</v>
      </c>
      <c r="F117" s="182">
        <f t="shared" si="47"/>
        <v>70061.122667957272</v>
      </c>
      <c r="G117" s="182">
        <f t="shared" si="47"/>
        <v>68058.25330975726</v>
      </c>
      <c r="H117" s="182">
        <f t="shared" si="47"/>
        <v>-116102.12404204273</v>
      </c>
      <c r="I117" s="182">
        <f t="shared" si="47"/>
        <v>-80338.569700242777</v>
      </c>
      <c r="J117" s="182">
        <f t="shared" si="47"/>
        <v>83572.522607957275</v>
      </c>
      <c r="K117" s="182">
        <f t="shared" si="47"/>
        <v>70214.456299757265</v>
      </c>
      <c r="L117" s="182">
        <f t="shared" si="47"/>
        <v>71608.587617957266</v>
      </c>
      <c r="M117" s="182">
        <f t="shared" si="47"/>
        <v>-97354.755490242736</v>
      </c>
      <c r="N117" s="182">
        <f t="shared" si="47"/>
        <v>-109367.22964024276</v>
      </c>
      <c r="O117" s="182">
        <f t="shared" si="47"/>
        <v>53051.034323957268</v>
      </c>
      <c r="P117" s="182">
        <f t="shared" si="47"/>
        <v>69647.875589957257</v>
      </c>
      <c r="Q117" s="191"/>
      <c r="R117" s="192"/>
      <c r="S117" s="193">
        <f>S27-S115</f>
        <v>97553.697212486528</v>
      </c>
      <c r="T117" s="192"/>
      <c r="U117" s="182">
        <f>U27-U115</f>
        <v>101034.72043184983</v>
      </c>
      <c r="V117" s="182">
        <f>V27+V115</f>
        <v>-3481.0232193629563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14502.52366795727</v>
      </c>
      <c r="F120" s="39">
        <f t="shared" ref="F120:P120" si="48">F117</f>
        <v>70061.122667957272</v>
      </c>
      <c r="G120" s="39">
        <f t="shared" si="48"/>
        <v>68058.25330975726</v>
      </c>
      <c r="H120" s="39">
        <f t="shared" si="48"/>
        <v>-116102.12404204273</v>
      </c>
      <c r="I120" s="39">
        <f t="shared" si="48"/>
        <v>-80338.569700242777</v>
      </c>
      <c r="J120" s="39">
        <f t="shared" si="48"/>
        <v>83572.522607957275</v>
      </c>
      <c r="K120" s="39">
        <f t="shared" si="48"/>
        <v>70214.456299757265</v>
      </c>
      <c r="L120" s="39">
        <f t="shared" si="48"/>
        <v>71608.587617957266</v>
      </c>
      <c r="M120" s="39">
        <f t="shared" si="48"/>
        <v>-97354.755490242736</v>
      </c>
      <c r="N120" s="39">
        <f t="shared" si="48"/>
        <v>-109367.22964024276</v>
      </c>
      <c r="O120" s="39">
        <f t="shared" si="48"/>
        <v>53051.034323957268</v>
      </c>
      <c r="P120" s="39">
        <f t="shared" si="48"/>
        <v>69647.875589957257</v>
      </c>
      <c r="Q120" s="44"/>
      <c r="R120" s="41"/>
      <c r="S120" s="59">
        <f t="shared" ref="S120:S136" si="49">SUM(E120:Q120)</f>
        <v>97553.697212487124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-'FY22'!Q123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-'FY22'!Q128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14502.52366795727</v>
      </c>
      <c r="F138" s="39">
        <f>SUM(F120:F136)</f>
        <v>70061.122667957272</v>
      </c>
      <c r="G138" s="39">
        <f t="shared" ref="G138:P138" si="51">SUM(G120:G136)</f>
        <v>68058.25330975726</v>
      </c>
      <c r="H138" s="39">
        <f t="shared" si="51"/>
        <v>-116102.12404204273</v>
      </c>
      <c r="I138" s="39">
        <f t="shared" si="51"/>
        <v>-80338.569700242777</v>
      </c>
      <c r="J138" s="39">
        <f t="shared" si="51"/>
        <v>83572.522607957275</v>
      </c>
      <c r="K138" s="39">
        <f t="shared" si="51"/>
        <v>70214.456299757265</v>
      </c>
      <c r="L138" s="39">
        <f t="shared" si="51"/>
        <v>71608.587617957266</v>
      </c>
      <c r="M138" s="39">
        <f t="shared" si="51"/>
        <v>-97354.755490242736</v>
      </c>
      <c r="N138" s="39">
        <f t="shared" si="51"/>
        <v>-109367.22964024276</v>
      </c>
      <c r="O138" s="39">
        <f t="shared" si="51"/>
        <v>53051.034323957268</v>
      </c>
      <c r="P138" s="39">
        <f t="shared" si="51"/>
        <v>69647.875589957257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'FY22'!P141</f>
        <v>183052.06014934974</v>
      </c>
      <c r="F139" s="42">
        <f>E141</f>
        <v>197554.58381730702</v>
      </c>
      <c r="G139" s="42">
        <f t="shared" ref="G139:P139" si="52">F141</f>
        <v>267615.70648526429</v>
      </c>
      <c r="H139" s="42">
        <f t="shared" si="52"/>
        <v>335673.95979502157</v>
      </c>
      <c r="I139" s="42">
        <f t="shared" si="52"/>
        <v>219571.83575297883</v>
      </c>
      <c r="J139" s="42">
        <f t="shared" si="52"/>
        <v>139233.26605273606</v>
      </c>
      <c r="K139" s="42">
        <f t="shared" si="52"/>
        <v>222805.78866069333</v>
      </c>
      <c r="L139" s="42">
        <f t="shared" si="52"/>
        <v>293020.24496045057</v>
      </c>
      <c r="M139" s="42">
        <f t="shared" si="52"/>
        <v>364628.83257840783</v>
      </c>
      <c r="N139" s="42">
        <f t="shared" si="52"/>
        <v>267274.0770881651</v>
      </c>
      <c r="O139" s="42">
        <f t="shared" si="52"/>
        <v>157906.84744792234</v>
      </c>
      <c r="P139" s="42">
        <f t="shared" si="52"/>
        <v>210957.88177187962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5">
        <f>SUM(E138:E140)</f>
        <v>197554.58381730702</v>
      </c>
      <c r="F141" s="195">
        <f>SUM(F138:F140)</f>
        <v>267615.70648526429</v>
      </c>
      <c r="G141" s="195">
        <f t="shared" ref="G141:P141" si="53">SUM(G138:G140)</f>
        <v>335673.95979502157</v>
      </c>
      <c r="H141" s="195">
        <f t="shared" si="53"/>
        <v>219571.83575297883</v>
      </c>
      <c r="I141" s="195">
        <f t="shared" si="53"/>
        <v>139233.26605273606</v>
      </c>
      <c r="J141" s="195">
        <f t="shared" si="53"/>
        <v>222805.78866069333</v>
      </c>
      <c r="K141" s="195">
        <f t="shared" si="53"/>
        <v>293020.24496045057</v>
      </c>
      <c r="L141" s="195">
        <f t="shared" si="53"/>
        <v>364628.83257840783</v>
      </c>
      <c r="M141" s="195">
        <f t="shared" si="53"/>
        <v>267274.0770881651</v>
      </c>
      <c r="N141" s="195">
        <f t="shared" si="53"/>
        <v>157906.84744792234</v>
      </c>
      <c r="O141" s="195">
        <f t="shared" si="53"/>
        <v>210957.88177187962</v>
      </c>
      <c r="P141" s="195">
        <f t="shared" si="53"/>
        <v>280605.75736183685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adCEcc1NWqNICYc8NbPIA2E1YqWxYmcHPMUGIi7+TqJiWA19Y1W/uMmVRKpufzgpIlAlWB5FEwsiQ736m3Vdfw==" saltValue="yjb/auAmdtQq1Wx4YWgF/w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W277"/>
  <sheetViews>
    <sheetView topLeftCell="A4" workbookViewId="0">
      <selection activeCell="D35" sqref="D35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10" width="8.85546875" style="14" bestFit="1" customWidth="1"/>
    <col min="11" max="16" width="9.140625" style="14" bestFit="1" customWidth="1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",MYP!K4)</f>
        <v>Monthly Cash Flow/Budget FY24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'FY21'!E4+(365*3)</f>
        <v>45108</v>
      </c>
      <c r="F4" s="33">
        <f t="shared" ref="F4:P4" si="0">E4+31</f>
        <v>45139</v>
      </c>
      <c r="G4" s="33">
        <f t="shared" si="0"/>
        <v>45170</v>
      </c>
      <c r="H4" s="33">
        <f t="shared" si="0"/>
        <v>45201</v>
      </c>
      <c r="I4" s="33">
        <f t="shared" si="0"/>
        <v>45232</v>
      </c>
      <c r="J4" s="33">
        <f t="shared" si="0"/>
        <v>45263</v>
      </c>
      <c r="K4" s="33">
        <f t="shared" si="0"/>
        <v>45294</v>
      </c>
      <c r="L4" s="33">
        <f t="shared" si="0"/>
        <v>45325</v>
      </c>
      <c r="M4" s="33">
        <f t="shared" si="0"/>
        <v>45356</v>
      </c>
      <c r="N4" s="33">
        <f t="shared" si="0"/>
        <v>45387</v>
      </c>
      <c r="O4" s="33">
        <f t="shared" si="0"/>
        <v>45418</v>
      </c>
      <c r="P4" s="56">
        <f t="shared" si="0"/>
        <v>45449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9" t="s">
        <v>184</v>
      </c>
      <c r="E5" s="328">
        <f>IF(('Rev &amp; Enroll'!$F37*'Rev &amp; Enroll'!$F24)&gt;500000,0.08333,0)</f>
        <v>8.3330000000000001E-2</v>
      </c>
      <c r="F5" s="328">
        <f>IF(('Rev &amp; Enroll'!$F37*'Rev &amp; Enroll'!$F24)&gt;500000,0.08333,0.25)</f>
        <v>8.3330000000000001E-2</v>
      </c>
      <c r="G5" s="328">
        <f>IF(('Rev &amp; Enroll'!$F37*'Rev &amp; Enroll'!$F24)&gt;500000,0.08333,0)</f>
        <v>8.3330000000000001E-2</v>
      </c>
      <c r="H5" s="328">
        <f>IF(('Rev &amp; Enroll'!$F37*'Rev &amp; Enroll'!$F24)&gt;500000,0.08333,0)</f>
        <v>8.3330000000000001E-2</v>
      </c>
      <c r="I5" s="328">
        <f>IF(('Rev &amp; Enroll'!$F37*'Rev &amp; Enroll'!$F24)&gt;500000,0.08333,0.25)</f>
        <v>8.3330000000000001E-2</v>
      </c>
      <c r="J5" s="328">
        <f>IF(('Rev &amp; Enroll'!$F37*'Rev &amp; Enroll'!$F24)&gt;500000,0.08333,0)</f>
        <v>8.3330000000000001E-2</v>
      </c>
      <c r="K5" s="328">
        <f>IF(('Rev &amp; Enroll'!$F37*'Rev &amp; Enroll'!$F24)&gt;500000,0.08333,0)</f>
        <v>8.3330000000000001E-2</v>
      </c>
      <c r="L5" s="328">
        <f>IF(('Rev &amp; Enroll'!$F37*'Rev &amp; Enroll'!$F24)&gt;500000,0.08333,0.25)</f>
        <v>8.3330000000000001E-2</v>
      </c>
      <c r="M5" s="328">
        <f>IF(('Rev &amp; Enroll'!$F37*'Rev &amp; Enroll'!$F24)&gt;500000,0.08333,0)</f>
        <v>8.3330000000000001E-2</v>
      </c>
      <c r="N5" s="328">
        <f>IF(('Rev &amp; Enroll'!$F37*'Rev &amp; Enroll'!$F24)&gt;500000,0.08333,0)</f>
        <v>8.3330000000000001E-2</v>
      </c>
      <c r="O5" s="328">
        <f>IF(('Rev &amp; Enroll'!$F37*'Rev &amp; Enroll'!$F24)&gt;500000,0.08333,0.25)</f>
        <v>8.3330000000000001E-2</v>
      </c>
      <c r="P5" s="328">
        <f>IF(('Rev &amp; Enroll'!$F37*'Rev &amp; Enroll'!$F24)&gt;500000,0.08333,0)</f>
        <v>8.3330000000000001E-2</v>
      </c>
      <c r="Q5" s="223">
        <f>1-SUM(E5:P5)</f>
        <v>3.9999999999928981E-5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200">
        <v>1110</v>
      </c>
      <c r="D8" s="37" t="s">
        <v>0</v>
      </c>
      <c r="E8" s="181">
        <f>+'FY23'!E8*(1+MYP!$K$8)</f>
        <v>33348.839831999998</v>
      </c>
      <c r="F8" s="181">
        <f>+'FY23'!F8*(1+MYP!$K$8)</f>
        <v>33348.839831999998</v>
      </c>
      <c r="G8" s="181">
        <f>+'FY23'!G8*(1+MYP!$K$8)</f>
        <v>33348.839831999998</v>
      </c>
      <c r="H8" s="181">
        <f>+'FY23'!H8*(1+MYP!$K$8)</f>
        <v>33348.839831999998</v>
      </c>
      <c r="I8" s="181">
        <f>+'FY23'!I8*(1+MYP!$K$8)</f>
        <v>33348.839831999998</v>
      </c>
      <c r="J8" s="181">
        <f>+'FY23'!J8*(1+MYP!$K$8)</f>
        <v>33348.839831999998</v>
      </c>
      <c r="K8" s="181">
        <f>+'FY23'!K8*(1+MYP!$K$8)</f>
        <v>33348.839831999998</v>
      </c>
      <c r="L8" s="181">
        <f>+'FY23'!L8*(1+MYP!$K$8)</f>
        <v>33348.839831999998</v>
      </c>
      <c r="M8" s="181">
        <f>+'FY23'!M8*(1+MYP!$K$8)</f>
        <v>33348.839831999998</v>
      </c>
      <c r="N8" s="181">
        <f>+'FY23'!N8*(1+MYP!$K$8)</f>
        <v>33348.839831999998</v>
      </c>
      <c r="O8" s="181">
        <f>+'FY23'!O8*(1+MYP!$K$8)</f>
        <v>33348.839831999998</v>
      </c>
      <c r="P8" s="181">
        <f>+'FY23'!P8*(1+MYP!$K$8)</f>
        <v>33347.505878406722</v>
      </c>
      <c r="Q8" s="186"/>
      <c r="R8" s="187"/>
      <c r="S8" s="188">
        <f>SUM(E8:Q8)</f>
        <v>400184.74403040658</v>
      </c>
      <c r="T8" s="187"/>
      <c r="U8" s="181">
        <f>'FY23'!S8</f>
        <v>388528.87769942393</v>
      </c>
      <c r="V8" s="181">
        <f t="shared" ref="V8:V20" si="1">S8-U8</f>
        <v>11655.866330982652</v>
      </c>
      <c r="W8" s="39"/>
    </row>
    <row r="9" spans="1:23" s="37" customFormat="1" ht="12" x14ac:dyDescent="0.2">
      <c r="A9" s="45"/>
      <c r="C9" s="200">
        <v>1120</v>
      </c>
      <c r="D9" s="37" t="s">
        <v>1</v>
      </c>
      <c r="E9" s="363">
        <f>+'FY23'!E9*(1+MYP!$K$8)</f>
        <v>36633.195270000004</v>
      </c>
      <c r="F9" s="363">
        <f>+'FY23'!F9*(1+MYP!$K$8)</f>
        <v>36633.195270000004</v>
      </c>
      <c r="G9" s="363">
        <f>+'FY23'!G9*(1+MYP!$K$8)</f>
        <v>36633.195270000004</v>
      </c>
      <c r="H9" s="363">
        <f>+'FY23'!H9*(1+MYP!$K$8)</f>
        <v>36633.195270000004</v>
      </c>
      <c r="I9" s="363">
        <f>+'FY23'!I9*(1+MYP!$K$8)</f>
        <v>36633.195270000004</v>
      </c>
      <c r="J9" s="363">
        <f>+'FY23'!J9*(1+MYP!$K$8)</f>
        <v>36633.195270000004</v>
      </c>
      <c r="K9" s="363">
        <f>+'FY23'!K9*(1+MYP!$K$8)</f>
        <v>36633.195270000004</v>
      </c>
      <c r="L9" s="363">
        <f>+'FY23'!L9*(1+MYP!$K$8)</f>
        <v>36633.195270000004</v>
      </c>
      <c r="M9" s="363">
        <f>+'FY23'!M9*(1+MYP!$K$8)</f>
        <v>36633.195270000004</v>
      </c>
      <c r="N9" s="363">
        <f>+'FY23'!N9*(1+MYP!$K$8)</f>
        <v>36633.195270000004</v>
      </c>
      <c r="O9" s="363">
        <f>+'FY23'!O9*(1+MYP!$K$8)</f>
        <v>36633.195270000004</v>
      </c>
      <c r="P9" s="363">
        <f>+'FY23'!P9*(1+MYP!$K$8)</f>
        <v>36631.729942189202</v>
      </c>
      <c r="Q9" s="36"/>
      <c r="R9" s="41"/>
      <c r="S9" s="59">
        <f t="shared" ref="S9:S20" si="2">SUM(E9:Q9)</f>
        <v>439596.87791218929</v>
      </c>
      <c r="T9" s="41"/>
      <c r="U9" s="39">
        <f>'FY23'!S9</f>
        <v>426793.08535164013</v>
      </c>
      <c r="V9" s="39">
        <f t="shared" si="1"/>
        <v>12803.792560549162</v>
      </c>
      <c r="W9" s="39"/>
    </row>
    <row r="10" spans="1:23" s="37" customFormat="1" ht="12" x14ac:dyDescent="0.2">
      <c r="A10" s="45"/>
      <c r="C10" s="200">
        <v>1191</v>
      </c>
      <c r="D10" s="37" t="s">
        <v>2</v>
      </c>
      <c r="E10" s="363">
        <f>+'FY23'!E10*(1+MYP!$K$8)</f>
        <v>126.32136300000001</v>
      </c>
      <c r="F10" s="363">
        <f>+'FY23'!F10*(1+MYP!$K$8)</f>
        <v>126.32136300000001</v>
      </c>
      <c r="G10" s="363">
        <f>+'FY23'!G10*(1+MYP!$K$8)</f>
        <v>126.32136300000001</v>
      </c>
      <c r="H10" s="363">
        <f>+'FY23'!H10*(1+MYP!$K$8)</f>
        <v>126.32136300000001</v>
      </c>
      <c r="I10" s="363">
        <f>+'FY23'!I10*(1+MYP!$K$8)</f>
        <v>126.32136300000001</v>
      </c>
      <c r="J10" s="363">
        <f>+'FY23'!J10*(1+MYP!$K$8)</f>
        <v>126.32136300000001</v>
      </c>
      <c r="K10" s="363">
        <f>+'FY23'!K10*(1+MYP!$K$8)</f>
        <v>126.32136300000001</v>
      </c>
      <c r="L10" s="363">
        <f>+'FY23'!L10*(1+MYP!$K$8)</f>
        <v>126.32136300000001</v>
      </c>
      <c r="M10" s="363">
        <f>+'FY23'!M10*(1+MYP!$K$8)</f>
        <v>126.32136300000001</v>
      </c>
      <c r="N10" s="363">
        <f>+'FY23'!N10*(1+MYP!$K$8)</f>
        <v>126.32136300000001</v>
      </c>
      <c r="O10" s="363">
        <f>+'FY23'!O10*(1+MYP!$K$8)</f>
        <v>126.32136300000001</v>
      </c>
      <c r="P10" s="363">
        <f>+'FY23'!P10*(1+MYP!$K$8)</f>
        <v>126.31631014548002</v>
      </c>
      <c r="Q10" s="36"/>
      <c r="R10" s="41"/>
      <c r="S10" s="59">
        <f t="shared" si="2"/>
        <v>1515.85130314548</v>
      </c>
      <c r="T10" s="41"/>
      <c r="U10" s="39">
        <f>'FY23'!S10</f>
        <v>1471.7002943160001</v>
      </c>
      <c r="V10" s="39">
        <f t="shared" si="1"/>
        <v>44.151008829479906</v>
      </c>
      <c r="W10" s="39"/>
    </row>
    <row r="11" spans="1:23" s="37" customFormat="1" ht="12" x14ac:dyDescent="0.2">
      <c r="A11" s="45"/>
      <c r="C11" s="200">
        <v>1192</v>
      </c>
      <c r="D11" s="37" t="s">
        <v>3</v>
      </c>
      <c r="E11" s="363">
        <f>+'FY23'!E11*(1+MYP!$K$8)</f>
        <v>3915.9622530000001</v>
      </c>
      <c r="F11" s="363">
        <f>+'FY23'!F11*(1+MYP!$K$8)</f>
        <v>3915.9622530000001</v>
      </c>
      <c r="G11" s="363">
        <f>+'FY23'!G11*(1+MYP!$K$8)</f>
        <v>3915.9622530000001</v>
      </c>
      <c r="H11" s="363">
        <f>+'FY23'!H11*(1+MYP!$K$8)</f>
        <v>3915.9622530000001</v>
      </c>
      <c r="I11" s="363">
        <f>+'FY23'!I11*(1+MYP!$K$8)</f>
        <v>3915.9622530000001</v>
      </c>
      <c r="J11" s="363">
        <f>+'FY23'!J11*(1+MYP!$K$8)</f>
        <v>3915.9622530000001</v>
      </c>
      <c r="K11" s="363">
        <f>+'FY23'!K11*(1+MYP!$K$8)</f>
        <v>3915.9622530000001</v>
      </c>
      <c r="L11" s="363">
        <f>+'FY23'!L11*(1+MYP!$K$8)</f>
        <v>3915.9622530000001</v>
      </c>
      <c r="M11" s="363">
        <f>+'FY23'!M11*(1+MYP!$K$8)</f>
        <v>3915.9622530000001</v>
      </c>
      <c r="N11" s="363">
        <f>+'FY23'!N11*(1+MYP!$K$8)</f>
        <v>3915.9622530000001</v>
      </c>
      <c r="O11" s="363">
        <f>+'FY23'!O11*(1+MYP!$K$8)</f>
        <v>3915.9622530000001</v>
      </c>
      <c r="P11" s="363">
        <f>+'FY23'!P11*(1+MYP!$K$8)</f>
        <v>3915.8056145098803</v>
      </c>
      <c r="Q11" s="98"/>
      <c r="R11" s="41"/>
      <c r="S11" s="59">
        <f t="shared" si="2"/>
        <v>46991.39039750988</v>
      </c>
      <c r="T11" s="41"/>
      <c r="U11" s="39">
        <f>'FY23'!S11</f>
        <v>45622.709123796012</v>
      </c>
      <c r="V11" s="39">
        <f t="shared" si="1"/>
        <v>1368.681273713868</v>
      </c>
      <c r="W11" s="39"/>
    </row>
    <row r="12" spans="1:23" s="37" customFormat="1" ht="12" x14ac:dyDescent="0.2">
      <c r="A12" s="45"/>
      <c r="C12" s="200">
        <v>3110</v>
      </c>
      <c r="D12" s="37" t="s">
        <v>73</v>
      </c>
      <c r="E12" s="363">
        <f>+'FY23'!E12*(1+MYP!$K$8)</f>
        <v>52297.044281999995</v>
      </c>
      <c r="F12" s="363">
        <f>+'FY23'!F12*(1+MYP!$K$8)</f>
        <v>52297.044281999995</v>
      </c>
      <c r="G12" s="363">
        <f>+'FY23'!G12*(1+MYP!$K$8)</f>
        <v>52297.044281999995</v>
      </c>
      <c r="H12" s="363">
        <f>+'FY23'!H12*(1+MYP!$K$8)</f>
        <v>52297.044281999995</v>
      </c>
      <c r="I12" s="363">
        <f>+'FY23'!I12*(1+MYP!$K$8)</f>
        <v>52297.044281999995</v>
      </c>
      <c r="J12" s="363">
        <f>+'FY23'!J12*(1+MYP!$K$8)</f>
        <v>52297.044281999995</v>
      </c>
      <c r="K12" s="363">
        <f>+'FY23'!K12*(1+MYP!$K$8)</f>
        <v>52297.044281999995</v>
      </c>
      <c r="L12" s="363">
        <f>+'FY23'!L12*(1+MYP!$K$8)</f>
        <v>52297.044281999995</v>
      </c>
      <c r="M12" s="363">
        <f>+'FY23'!M12*(1+MYP!$K$8)</f>
        <v>52297.044281999995</v>
      </c>
      <c r="N12" s="363">
        <f>+'FY23'!N12*(1+MYP!$K$8)</f>
        <v>52297.044281999995</v>
      </c>
      <c r="O12" s="363">
        <f>+'FY23'!O12*(1+MYP!$K$8)</f>
        <v>52297.044281999995</v>
      </c>
      <c r="P12" s="363">
        <f>+'FY23'!P12*(1+MYP!$K$8)</f>
        <v>52294.952400228722</v>
      </c>
      <c r="Q12" s="98"/>
      <c r="R12" s="41"/>
      <c r="S12" s="59">
        <f t="shared" si="2"/>
        <v>627562.43950222863</v>
      </c>
      <c r="T12" s="41"/>
      <c r="U12" s="39">
        <f>'FY23'!S12</f>
        <v>609283.92184682388</v>
      </c>
      <c r="V12" s="39">
        <f t="shared" si="1"/>
        <v>18278.51765540475</v>
      </c>
      <c r="W12" s="39"/>
    </row>
    <row r="13" spans="1:23" s="37" customFormat="1" ht="12" x14ac:dyDescent="0.2">
      <c r="A13" s="45"/>
      <c r="C13" s="38"/>
      <c r="E13" s="50">
        <f>SUBTOTAL(9,E8:E12)</f>
        <v>126321.36299999998</v>
      </c>
      <c r="F13" s="50">
        <f t="shared" ref="F13:S13" si="3">SUBTOTAL(9,F8:F12)</f>
        <v>126321.36299999998</v>
      </c>
      <c r="G13" s="50">
        <f t="shared" si="3"/>
        <v>126321.36299999998</v>
      </c>
      <c r="H13" s="50">
        <f t="shared" si="3"/>
        <v>126321.36299999998</v>
      </c>
      <c r="I13" s="50">
        <f t="shared" si="3"/>
        <v>126321.36299999998</v>
      </c>
      <c r="J13" s="50">
        <f t="shared" si="3"/>
        <v>126321.36299999998</v>
      </c>
      <c r="K13" s="50">
        <f t="shared" si="3"/>
        <v>126321.36299999998</v>
      </c>
      <c r="L13" s="50">
        <f t="shared" si="3"/>
        <v>126321.36299999998</v>
      </c>
      <c r="M13" s="50">
        <f t="shared" si="3"/>
        <v>126321.36299999998</v>
      </c>
      <c r="N13" s="50">
        <f t="shared" si="3"/>
        <v>126321.36299999998</v>
      </c>
      <c r="O13" s="50">
        <f t="shared" si="3"/>
        <v>126321.36299999998</v>
      </c>
      <c r="P13" s="50">
        <f t="shared" si="3"/>
        <v>126316.31014548002</v>
      </c>
      <c r="Q13" s="99"/>
      <c r="R13" s="41"/>
      <c r="S13" s="61">
        <f t="shared" si="3"/>
        <v>1515851.3031454799</v>
      </c>
      <c r="T13" s="41"/>
      <c r="U13" s="50">
        <f t="shared" ref="U13" si="4">SUBTOTAL(9,U8:U12)</f>
        <v>1471700.2943159998</v>
      </c>
      <c r="V13" s="50">
        <f t="shared" ref="V13" si="5">SUBTOTAL(9,V8:V12)</f>
        <v>44151.008829479913</v>
      </c>
      <c r="W13" s="39"/>
    </row>
    <row r="14" spans="1:23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200">
        <v>3115</v>
      </c>
      <c r="D15" s="37" t="s">
        <v>5</v>
      </c>
      <c r="E15" s="363">
        <f>+'FY23'!E15*(1+MYP!$K$8)</f>
        <v>0</v>
      </c>
      <c r="F15" s="363">
        <f>+'FY23'!F15*(1+MYP!$K$8)</f>
        <v>0</v>
      </c>
      <c r="G15" s="363">
        <f>+'FY23'!G15*(1+MYP!$K$8)</f>
        <v>0</v>
      </c>
      <c r="H15" s="363">
        <f>+'FY23'!H15*(1+MYP!$K$8)</f>
        <v>0</v>
      </c>
      <c r="I15" s="363">
        <f>+'FY23'!I15*(1+MYP!$K$8)</f>
        <v>0</v>
      </c>
      <c r="J15" s="363">
        <f>+'FY23'!J15*(1+MYP!$K$8)</f>
        <v>0</v>
      </c>
      <c r="K15" s="363">
        <f>+'FY23'!K15*(1+MYP!$K$8)</f>
        <v>0</v>
      </c>
      <c r="L15" s="363">
        <f>+'FY23'!L15*(1+MYP!$K$8)</f>
        <v>0</v>
      </c>
      <c r="M15" s="363">
        <f>+'FY23'!M15*(1+MYP!$K$8)</f>
        <v>0</v>
      </c>
      <c r="N15" s="363">
        <f>+'FY23'!N15*(1+MYP!$K$8)</f>
        <v>0</v>
      </c>
      <c r="O15" s="363">
        <f>+'FY23'!O15*(1+MYP!$K$8)</f>
        <v>0</v>
      </c>
      <c r="P15" s="363">
        <f>+'FY23'!P15*(1+MYP!$K$8)</f>
        <v>0</v>
      </c>
      <c r="Q15" s="100"/>
      <c r="R15" s="41"/>
      <c r="S15" s="59">
        <f t="shared" si="2"/>
        <v>0</v>
      </c>
      <c r="T15" s="41"/>
      <c r="U15" s="39">
        <f>'FY23'!S15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200">
        <v>3200</v>
      </c>
      <c r="D16" s="37" t="s">
        <v>6</v>
      </c>
      <c r="E16" s="363">
        <f>+'FY23'!E16*(1+MYP!$K$8)</f>
        <v>0</v>
      </c>
      <c r="F16" s="363">
        <f>+'FY23'!F16*(1+MYP!$K$8)</f>
        <v>0</v>
      </c>
      <c r="G16" s="363">
        <f>+'FY23'!G16*(1+MYP!$K$8)</f>
        <v>0</v>
      </c>
      <c r="H16" s="363">
        <f>+'FY23'!H16*(1+MYP!$K$8)</f>
        <v>0</v>
      </c>
      <c r="I16" s="363">
        <f>+'FY23'!I16*(1+MYP!$K$8)</f>
        <v>0</v>
      </c>
      <c r="J16" s="363">
        <f>+'FY23'!J16*(1+MYP!$K$8)</f>
        <v>0</v>
      </c>
      <c r="K16" s="363">
        <f>+'FY23'!K16*(1+MYP!$K$8)</f>
        <v>0</v>
      </c>
      <c r="L16" s="363">
        <f>+'FY23'!L16*(1+MYP!$K$8)</f>
        <v>0</v>
      </c>
      <c r="M16" s="363">
        <f>+'FY23'!M16*(1+MYP!$K$8)</f>
        <v>0</v>
      </c>
      <c r="N16" s="363">
        <f>+'FY23'!N16*(1+MYP!$K$8)</f>
        <v>0</v>
      </c>
      <c r="O16" s="363">
        <f>+'FY23'!O16*(1+MYP!$K$8)</f>
        <v>0</v>
      </c>
      <c r="P16" s="363">
        <f>+'FY23'!P16*(1+MYP!$K$8)</f>
        <v>0</v>
      </c>
      <c r="Q16" s="100"/>
      <c r="R16" s="41"/>
      <c r="S16" s="59">
        <f t="shared" si="2"/>
        <v>0</v>
      </c>
      <c r="T16" s="41"/>
      <c r="U16" s="39">
        <f>'FY23'!S16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200">
        <v>4500</v>
      </c>
      <c r="D19" s="37" t="s">
        <v>6</v>
      </c>
      <c r="E19" s="363">
        <f>+'FY23'!E19*(1+MYP!$K$8)</f>
        <v>0</v>
      </c>
      <c r="F19" s="363">
        <f>+'FY23'!F19*(1+MYP!$K$8)</f>
        <v>0</v>
      </c>
      <c r="G19" s="363">
        <f>+'FY23'!G19*(1+MYP!$K$8)</f>
        <v>0</v>
      </c>
      <c r="H19" s="363">
        <f>+'FY23'!H19*(1+MYP!$K$8)</f>
        <v>0</v>
      </c>
      <c r="I19" s="363">
        <f>+'FY23'!I19*(1+MYP!$K$8)</f>
        <v>0</v>
      </c>
      <c r="J19" s="363">
        <f>+'FY23'!J19*(1+MYP!$K$8)</f>
        <v>0</v>
      </c>
      <c r="K19" s="363">
        <f>+'FY23'!K19*(1+MYP!$K$8)</f>
        <v>0</v>
      </c>
      <c r="L19" s="363">
        <f>+'FY23'!L19*(1+MYP!$K$8)</f>
        <v>0</v>
      </c>
      <c r="M19" s="363">
        <f>+'FY23'!M19*(1+MYP!$K$8)</f>
        <v>0</v>
      </c>
      <c r="N19" s="363">
        <f>+'FY23'!N19*(1+MYP!$K$8)</f>
        <v>0</v>
      </c>
      <c r="O19" s="363">
        <f>+'FY23'!O19*(1+MYP!$K$8)</f>
        <v>0</v>
      </c>
      <c r="P19" s="363">
        <f>+'FY23'!P19*(1+MYP!$K$8)</f>
        <v>0</v>
      </c>
      <c r="Q19" s="100"/>
      <c r="R19" s="41"/>
      <c r="S19" s="59">
        <f t="shared" si="2"/>
        <v>0</v>
      </c>
      <c r="T19" s="41"/>
      <c r="U19" s="39">
        <f>'FY23'!S19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200">
        <v>4571</v>
      </c>
      <c r="D20" s="37" t="s">
        <v>7</v>
      </c>
      <c r="E20" s="363">
        <f>+'FY23'!E20*(1+MYP!$K$8)</f>
        <v>0</v>
      </c>
      <c r="F20" s="363">
        <f>+'FY23'!F20*(1+MYP!$K$8)</f>
        <v>0</v>
      </c>
      <c r="G20" s="363">
        <f>+'FY23'!G20*(1+MYP!$K$8)</f>
        <v>0</v>
      </c>
      <c r="H20" s="363">
        <f>+'FY23'!H20*(1+MYP!$K$8)</f>
        <v>0</v>
      </c>
      <c r="I20" s="363">
        <f>+'FY23'!I20*(1+MYP!$K$8)</f>
        <v>0</v>
      </c>
      <c r="J20" s="363">
        <f>+'FY23'!J20*(1+MYP!$K$8)</f>
        <v>0</v>
      </c>
      <c r="K20" s="363">
        <f>+'FY23'!K20*(1+MYP!$K$8)</f>
        <v>0</v>
      </c>
      <c r="L20" s="363">
        <f>+'FY23'!L20*(1+MYP!$K$8)</f>
        <v>0</v>
      </c>
      <c r="M20" s="363">
        <f>+'FY23'!M20*(1+MYP!$K$8)</f>
        <v>0</v>
      </c>
      <c r="N20" s="363">
        <f>+'FY23'!N20*(1+MYP!$K$8)</f>
        <v>0</v>
      </c>
      <c r="O20" s="363">
        <f>+'FY23'!O20*(1+MYP!$K$8)</f>
        <v>0</v>
      </c>
      <c r="P20" s="363">
        <f>+'FY23'!P20*(1+MYP!$K$8)</f>
        <v>0</v>
      </c>
      <c r="Q20" s="100"/>
      <c r="R20" s="41"/>
      <c r="S20" s="62">
        <f t="shared" si="2"/>
        <v>0</v>
      </c>
      <c r="T20" s="41"/>
      <c r="U20" s="41">
        <f>'FY23'!S20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185</v>
      </c>
      <c r="E21" s="363">
        <f>+'FY23'!E21*(1+MYP!$K$8)</f>
        <v>0</v>
      </c>
      <c r="F21" s="363">
        <f>+'FY23'!F21*(1+MYP!$K$8)</f>
        <v>0</v>
      </c>
      <c r="G21" s="363">
        <f>+'FY23'!G21*(1+MYP!$K$8)</f>
        <v>0</v>
      </c>
      <c r="H21" s="363">
        <f>+'FY23'!H21*(1+MYP!$K$8)</f>
        <v>0</v>
      </c>
      <c r="I21" s="363">
        <f>+'FY23'!I21*(1+MYP!$K$8)</f>
        <v>0</v>
      </c>
      <c r="J21" s="363">
        <f>+'FY23'!J21*(1+MYP!$K$8)</f>
        <v>0</v>
      </c>
      <c r="K21" s="363">
        <f>+'FY23'!K21*(1+MYP!$K$8)</f>
        <v>0</v>
      </c>
      <c r="L21" s="363">
        <f>+'FY23'!L21*(1+MYP!$K$8)</f>
        <v>0</v>
      </c>
      <c r="M21" s="363">
        <f>+'FY23'!M21*(1+MYP!$K$8)</f>
        <v>0</v>
      </c>
      <c r="N21" s="363">
        <f>+'FY23'!N21*(1+MYP!$K$8)</f>
        <v>0</v>
      </c>
      <c r="O21" s="363">
        <f>+'FY23'!O21*(1+MYP!$K$8)</f>
        <v>0</v>
      </c>
      <c r="P21" s="363">
        <f>+'FY23'!P21*(1+MYP!$K$8)</f>
        <v>0</v>
      </c>
      <c r="Q21" s="100"/>
      <c r="R21" s="41"/>
      <c r="S21" s="62">
        <f t="shared" ref="S21" si="7">SUM(E21:Q21)</f>
        <v>0</v>
      </c>
      <c r="T21" s="41"/>
      <c r="U21" s="41">
        <f>'FY23'!S21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149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200">
        <v>1790</v>
      </c>
      <c r="D24" s="37" t="s">
        <v>4</v>
      </c>
      <c r="E24" s="363">
        <f>+'FY23'!E24*(1+MYP!$K$8)</f>
        <v>0</v>
      </c>
      <c r="F24" s="363">
        <f>+'FY23'!F24*(1+MYP!$K$8)</f>
        <v>0</v>
      </c>
      <c r="G24" s="363">
        <f>+'FY23'!G24*(1+MYP!$K$8)</f>
        <v>0</v>
      </c>
      <c r="H24" s="363">
        <f>+'FY23'!H24*(1+MYP!$K$8)</f>
        <v>0</v>
      </c>
      <c r="I24" s="363">
        <f>+'FY23'!I24*(1+MYP!$K$8)</f>
        <v>0</v>
      </c>
      <c r="J24" s="363">
        <f>+'FY23'!J24*(1+MYP!$K$8)</f>
        <v>0</v>
      </c>
      <c r="K24" s="363">
        <f>+'FY23'!K24*(1+MYP!$K$8)</f>
        <v>0</v>
      </c>
      <c r="L24" s="363">
        <f>+'FY23'!L24*(1+MYP!$K$8)</f>
        <v>0</v>
      </c>
      <c r="M24" s="363">
        <f>+'FY23'!M24*(1+MYP!$K$8)</f>
        <v>0</v>
      </c>
      <c r="N24" s="363">
        <f>+'FY23'!N24*(1+MYP!$K$8)</f>
        <v>0</v>
      </c>
      <c r="O24" s="363">
        <f>+'FY23'!O24*(1+MYP!$K$8)</f>
        <v>0</v>
      </c>
      <c r="P24" s="363">
        <f>+'FY23'!P24*(1+MYP!$K$8)</f>
        <v>0</v>
      </c>
      <c r="Q24" s="100"/>
      <c r="R24" s="41"/>
      <c r="S24" s="59">
        <f>SUM(E24:Q24)</f>
        <v>0</v>
      </c>
      <c r="T24" s="41"/>
      <c r="U24" s="39">
        <f>'FY23'!S24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126321.36299999998</v>
      </c>
      <c r="F27" s="43">
        <f t="shared" si="13"/>
        <v>126321.36299999998</v>
      </c>
      <c r="G27" s="43">
        <f t="shared" si="13"/>
        <v>126321.36299999998</v>
      </c>
      <c r="H27" s="43">
        <f t="shared" si="13"/>
        <v>126321.36299999998</v>
      </c>
      <c r="I27" s="43">
        <f t="shared" si="13"/>
        <v>126321.36299999998</v>
      </c>
      <c r="J27" s="43">
        <f t="shared" si="13"/>
        <v>126321.36299999998</v>
      </c>
      <c r="K27" s="43">
        <f t="shared" si="13"/>
        <v>126321.36299999998</v>
      </c>
      <c r="L27" s="43">
        <f t="shared" si="13"/>
        <v>126321.36299999998</v>
      </c>
      <c r="M27" s="43">
        <f t="shared" si="13"/>
        <v>126321.36299999998</v>
      </c>
      <c r="N27" s="43">
        <f t="shared" si="13"/>
        <v>126321.36299999998</v>
      </c>
      <c r="O27" s="43">
        <f t="shared" si="13"/>
        <v>126321.36299999998</v>
      </c>
      <c r="P27" s="43">
        <f t="shared" si="13"/>
        <v>126316.31014548002</v>
      </c>
      <c r="Q27" s="197"/>
      <c r="R27" s="48"/>
      <c r="S27" s="60">
        <f>SUBTOTAL(9,S8:S26)</f>
        <v>1515851.3031454799</v>
      </c>
      <c r="T27" s="48"/>
      <c r="U27" s="43">
        <f>SUBTOTAL(9,U8:U26)</f>
        <v>1471700.2943159998</v>
      </c>
      <c r="V27" s="43">
        <f>SUBTOTAL(9,V8:V26)</f>
        <v>44151.008829479913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200">
        <v>6111</v>
      </c>
      <c r="D31" s="37" t="s">
        <v>191</v>
      </c>
      <c r="E31" s="39">
        <f>+'FY23'!E31*(1+MYP!$K$9)</f>
        <v>9678.4437932100009</v>
      </c>
      <c r="F31" s="39">
        <f>+'FY23'!F31*(1+MYP!$K$9)</f>
        <v>9678.4437932100009</v>
      </c>
      <c r="G31" s="39">
        <f>+'FY23'!G31*(1+MYP!$K$9)</f>
        <v>9678.4437932100009</v>
      </c>
      <c r="H31" s="39">
        <f>+'FY23'!H31*(1+MYP!$K$9)</f>
        <v>9678.4437932100009</v>
      </c>
      <c r="I31" s="39">
        <f>+'FY23'!I31*(1+MYP!$K$9)</f>
        <v>9678.4437932100009</v>
      </c>
      <c r="J31" s="39">
        <f>+'FY23'!J31*(1+MYP!$K$9)</f>
        <v>9678.4437932100009</v>
      </c>
      <c r="K31" s="39">
        <f>+'FY23'!K31*(1+MYP!$K$9)</f>
        <v>9678.4437932100009</v>
      </c>
      <c r="L31" s="39">
        <f>+'FY23'!L31*(1+MYP!$K$9)</f>
        <v>9678.4437932100009</v>
      </c>
      <c r="M31" s="39">
        <f>+'FY23'!M31*(1+MYP!$K$9)</f>
        <v>9678.4437932100009</v>
      </c>
      <c r="N31" s="39">
        <f>+'FY23'!N31*(1+MYP!$K$9)</f>
        <v>9678.4437932100009</v>
      </c>
      <c r="O31" s="39">
        <f>+'FY23'!O31*(1+MYP!$K$9)</f>
        <v>9678.4437932100009</v>
      </c>
      <c r="P31" s="39">
        <f>+'FY23'!P31*(1+MYP!$K$9)</f>
        <v>9678.4437932100009</v>
      </c>
      <c r="Q31" s="100"/>
      <c r="R31" s="41"/>
      <c r="S31" s="59">
        <f t="shared" ref="S31:S40" si="14">SUM(E31:Q31)</f>
        <v>116141.32551851998</v>
      </c>
      <c r="T31" s="41"/>
      <c r="U31" s="39">
        <f>'FY23'!S31</f>
        <v>113864.04462600005</v>
      </c>
      <c r="V31" s="39">
        <f>U31-S31</f>
        <v>-2277.2808925199352</v>
      </c>
      <c r="W31" s="39"/>
    </row>
    <row r="32" spans="1:23" s="37" customFormat="1" ht="12" x14ac:dyDescent="0.2">
      <c r="C32" s="200">
        <v>6114</v>
      </c>
      <c r="D32" s="37" t="s">
        <v>192</v>
      </c>
      <c r="E32" s="39">
        <f>+'FY23'!E32*(1+MYP!$K$9)</f>
        <v>8700.2474624999995</v>
      </c>
      <c r="F32" s="39">
        <f>+'FY23'!F32*(1+MYP!$K$9)</f>
        <v>8700.2474624999995</v>
      </c>
      <c r="G32" s="39">
        <f>+'FY23'!G32*(1+MYP!$K$9)</f>
        <v>8700.2474624999995</v>
      </c>
      <c r="H32" s="39">
        <f>+'FY23'!H32*(1+MYP!$K$9)</f>
        <v>8700.2474624999995</v>
      </c>
      <c r="I32" s="39">
        <f>+'FY23'!I32*(1+MYP!$K$9)</f>
        <v>8700.2474624999995</v>
      </c>
      <c r="J32" s="39">
        <f>+'FY23'!J32*(1+MYP!$K$9)</f>
        <v>8700.2474624999995</v>
      </c>
      <c r="K32" s="39">
        <f>+'FY23'!K32*(1+MYP!$K$9)</f>
        <v>8700.2474624999995</v>
      </c>
      <c r="L32" s="39">
        <f>+'FY23'!L32*(1+MYP!$K$9)</f>
        <v>8700.2474624999995</v>
      </c>
      <c r="M32" s="39">
        <f>+'FY23'!M32*(1+MYP!$K$9)</f>
        <v>8700.2474624999995</v>
      </c>
      <c r="N32" s="39">
        <f>+'FY23'!N32*(1+MYP!$K$9)</f>
        <v>8700.2474624999995</v>
      </c>
      <c r="O32" s="39">
        <f>+'FY23'!O32*(1+MYP!$K$9)</f>
        <v>8700.2474624999995</v>
      </c>
      <c r="P32" s="39">
        <f>+'FY23'!P32*(1+MYP!$K$9)</f>
        <v>8700.2474624999995</v>
      </c>
      <c r="Q32" s="100"/>
      <c r="R32" s="41"/>
      <c r="S32" s="59">
        <f t="shared" si="14"/>
        <v>104402.96955000002</v>
      </c>
      <c r="T32" s="41"/>
      <c r="U32" s="39">
        <f>'FY23'!S32</f>
        <v>102355.85249999999</v>
      </c>
      <c r="V32" s="39">
        <f t="shared" ref="V32:V40" si="15">U32-S32</f>
        <v>-2047.1170500000298</v>
      </c>
      <c r="W32" s="39"/>
    </row>
    <row r="33" spans="3:23" s="37" customFormat="1" ht="12" x14ac:dyDescent="0.2">
      <c r="C33" s="200">
        <v>6117</v>
      </c>
      <c r="D33" s="37" t="s">
        <v>228</v>
      </c>
      <c r="E33" s="39">
        <f>+'FY23'!E33*(1+MYP!$K$9)</f>
        <v>4075.13422872</v>
      </c>
      <c r="F33" s="39">
        <f>+'FY23'!F33*(1+MYP!$K$9)</f>
        <v>4075.13422872</v>
      </c>
      <c r="G33" s="39">
        <f>+'FY23'!G33*(1+MYP!$K$9)</f>
        <v>4075.13422872</v>
      </c>
      <c r="H33" s="39">
        <f>+'FY23'!H33*(1+MYP!$K$9)</f>
        <v>4075.13422872</v>
      </c>
      <c r="I33" s="39">
        <f>+'FY23'!I33*(1+MYP!$K$9)</f>
        <v>4075.13422872</v>
      </c>
      <c r="J33" s="39">
        <f>+'FY23'!J33*(1+MYP!$K$9)</f>
        <v>4075.13422872</v>
      </c>
      <c r="K33" s="39">
        <f>+'FY23'!K33*(1+MYP!$K$9)</f>
        <v>4075.13422872</v>
      </c>
      <c r="L33" s="39">
        <f>+'FY23'!L33*(1+MYP!$K$9)</f>
        <v>4075.13422872</v>
      </c>
      <c r="M33" s="39">
        <f>+'FY23'!M33*(1+MYP!$K$9)</f>
        <v>4075.13422872</v>
      </c>
      <c r="N33" s="39">
        <f>+'FY23'!N33*(1+MYP!$K$9)</f>
        <v>4075.13422872</v>
      </c>
      <c r="O33" s="39">
        <f>+'FY23'!O33*(1+MYP!$K$9)</f>
        <v>4075.13422872</v>
      </c>
      <c r="P33" s="39">
        <f>+'FY23'!P33*(1+MYP!$K$9)</f>
        <v>4075.13422872</v>
      </c>
      <c r="Q33" s="100"/>
      <c r="R33" s="41"/>
      <c r="S33" s="59">
        <f t="shared" si="14"/>
        <v>48901.610744640006</v>
      </c>
      <c r="T33" s="41"/>
      <c r="U33" s="39">
        <f>'FY23'!S33</f>
        <v>47942.755632000015</v>
      </c>
      <c r="V33" s="39">
        <f t="shared" si="15"/>
        <v>-958.85511263999069</v>
      </c>
      <c r="W33" s="39"/>
    </row>
    <row r="34" spans="3:23" s="37" customFormat="1" ht="12" x14ac:dyDescent="0.2">
      <c r="C34" s="200">
        <v>6127</v>
      </c>
      <c r="D34" s="37" t="s">
        <v>229</v>
      </c>
      <c r="E34" s="39">
        <f>+'FY23'!E34*(1+MYP!$K$9)</f>
        <v>3494.9116800000006</v>
      </c>
      <c r="F34" s="39">
        <f>+'FY23'!F34*(1+MYP!$K$9)</f>
        <v>3494.9116800000006</v>
      </c>
      <c r="G34" s="39">
        <f>+'FY23'!G34*(1+MYP!$K$9)</f>
        <v>3494.9116800000006</v>
      </c>
      <c r="H34" s="39">
        <f>+'FY23'!H34*(1+MYP!$K$9)</f>
        <v>3494.9116800000006</v>
      </c>
      <c r="I34" s="39">
        <f>+'FY23'!I34*(1+MYP!$K$9)</f>
        <v>3494.9116800000006</v>
      </c>
      <c r="J34" s="39">
        <f>+'FY23'!J34*(1+MYP!$K$9)</f>
        <v>3494.9116800000006</v>
      </c>
      <c r="K34" s="39">
        <f>+'FY23'!K34*(1+MYP!$K$9)</f>
        <v>3494.9116800000006</v>
      </c>
      <c r="L34" s="39">
        <f>+'FY23'!L34*(1+MYP!$K$9)</f>
        <v>3494.9116800000006</v>
      </c>
      <c r="M34" s="39">
        <f>+'FY23'!M34*(1+MYP!$K$9)</f>
        <v>3494.9116800000006</v>
      </c>
      <c r="N34" s="39">
        <f>+'FY23'!N34*(1+MYP!$K$9)</f>
        <v>3494.9116800000006</v>
      </c>
      <c r="O34" s="39">
        <f>+'FY23'!O34*(1+MYP!$K$9)</f>
        <v>3494.9116800000006</v>
      </c>
      <c r="P34" s="39">
        <f>+'FY23'!P34*(1+MYP!$K$9)</f>
        <v>3494.9116800000006</v>
      </c>
      <c r="Q34" s="100"/>
      <c r="R34" s="41"/>
      <c r="S34" s="59">
        <f t="shared" si="14"/>
        <v>41938.940159999998</v>
      </c>
      <c r="T34" s="41"/>
      <c r="U34" s="39">
        <f>'FY23'!S34</f>
        <v>41116.608000000007</v>
      </c>
      <c r="V34" s="39">
        <f t="shared" si="15"/>
        <v>-822.33215999999084</v>
      </c>
      <c r="W34" s="39"/>
    </row>
    <row r="35" spans="3:23" s="37" customFormat="1" ht="12" x14ac:dyDescent="0.2">
      <c r="C35" s="200">
        <v>6151</v>
      </c>
      <c r="D35" s="37" t="s">
        <v>189</v>
      </c>
      <c r="E35" s="39">
        <f>+'FY23'!E35*(1+MYP!$K$9)</f>
        <v>0</v>
      </c>
      <c r="F35" s="39">
        <f>+'FY23'!F35*(1+MYP!$K$9)</f>
        <v>0</v>
      </c>
      <c r="G35" s="39">
        <f>+'FY23'!G35*(1+MYP!$K$9)</f>
        <v>1591.8120000000001</v>
      </c>
      <c r="H35" s="39">
        <f>+'FY23'!H35*(1+MYP!$K$9)</f>
        <v>1591.8120000000001</v>
      </c>
      <c r="I35" s="39">
        <f>+'FY23'!I35*(1+MYP!$K$9)</f>
        <v>0</v>
      </c>
      <c r="J35" s="39">
        <f>+'FY23'!J35*(1+MYP!$K$9)</f>
        <v>0</v>
      </c>
      <c r="K35" s="39">
        <f>+'FY23'!K35*(1+MYP!$K$9)</f>
        <v>0</v>
      </c>
      <c r="L35" s="39">
        <f>+'FY23'!L35*(1+MYP!$K$9)</f>
        <v>1591.8120000000001</v>
      </c>
      <c r="M35" s="39">
        <f>+'FY23'!M35*(1+MYP!$K$9)</f>
        <v>1591.8120000000001</v>
      </c>
      <c r="N35" s="39">
        <f>+'FY23'!N35*(1+MYP!$K$9)</f>
        <v>0</v>
      </c>
      <c r="O35" s="39">
        <f>+'FY23'!O35*(1+MYP!$K$9)</f>
        <v>0</v>
      </c>
      <c r="P35" s="39">
        <f>+'FY23'!P35*(1+MYP!$K$9)</f>
        <v>0</v>
      </c>
      <c r="Q35" s="100"/>
      <c r="R35" s="41"/>
      <c r="S35" s="59">
        <f t="shared" si="14"/>
        <v>6367.2480000000005</v>
      </c>
      <c r="T35" s="41"/>
      <c r="U35" s="39">
        <f>'FY23'!S35</f>
        <v>6242.4000000000005</v>
      </c>
      <c r="V35" s="39">
        <f t="shared" si="15"/>
        <v>-124.84799999999996</v>
      </c>
      <c r="W35" s="39"/>
    </row>
    <row r="36" spans="3:23" s="37" customFormat="1" ht="12" x14ac:dyDescent="0.2">
      <c r="C36" s="200">
        <v>6154</v>
      </c>
      <c r="D36" s="37" t="s">
        <v>190</v>
      </c>
      <c r="E36" s="39">
        <f>+'FY23'!E36*(1+MYP!$K$9)</f>
        <v>0</v>
      </c>
      <c r="F36" s="39">
        <f>+'FY23'!F36*(1+MYP!$K$9)</f>
        <v>0</v>
      </c>
      <c r="G36" s="39">
        <f>+'FY23'!G36*(1+MYP!$K$9)</f>
        <v>985.86223200000006</v>
      </c>
      <c r="H36" s="39">
        <f>+'FY23'!H36*(1+MYP!$K$9)</f>
        <v>0</v>
      </c>
      <c r="I36" s="39">
        <f>+'FY23'!I36*(1+MYP!$K$9)</f>
        <v>985.86223200000006</v>
      </c>
      <c r="J36" s="39">
        <f>+'FY23'!J36*(1+MYP!$K$9)</f>
        <v>0</v>
      </c>
      <c r="K36" s="39">
        <f>+'FY23'!K36*(1+MYP!$K$9)</f>
        <v>985.86223200000006</v>
      </c>
      <c r="L36" s="39">
        <f>+'FY23'!L36*(1+MYP!$K$9)</f>
        <v>0</v>
      </c>
      <c r="M36" s="39">
        <f>+'FY23'!M36*(1+MYP!$K$9)</f>
        <v>985.86223200000006</v>
      </c>
      <c r="N36" s="39">
        <f>+'FY23'!N36*(1+MYP!$K$9)</f>
        <v>985.86223200000006</v>
      </c>
      <c r="O36" s="39">
        <f>+'FY23'!O36*(1+MYP!$K$9)</f>
        <v>0</v>
      </c>
      <c r="P36" s="39">
        <f>+'FY23'!P36*(1+MYP!$K$9)</f>
        <v>2387.7180000000003</v>
      </c>
      <c r="Q36" s="100"/>
      <c r="R36" s="41"/>
      <c r="S36" s="59">
        <f t="shared" si="14"/>
        <v>7317.02916</v>
      </c>
      <c r="T36" s="41"/>
      <c r="U36" s="39">
        <f>'FY23'!S36</f>
        <v>7173.5580000000009</v>
      </c>
      <c r="V36" s="39">
        <f t="shared" si="15"/>
        <v>-143.47115999999914</v>
      </c>
      <c r="W36" s="39"/>
    </row>
    <row r="37" spans="3:23" s="37" customFormat="1" ht="12" x14ac:dyDescent="0.2">
      <c r="C37" s="200">
        <v>6157</v>
      </c>
      <c r="D37" s="37" t="s">
        <v>230</v>
      </c>
      <c r="E37" s="39">
        <f>+'FY23'!E37*(1+MYP!$K$9)</f>
        <v>0</v>
      </c>
      <c r="F37" s="39">
        <f>+'FY23'!F37*(1+MYP!$K$9)</f>
        <v>0</v>
      </c>
      <c r="G37" s="39">
        <f>+'FY23'!G37*(1+MYP!$K$9)</f>
        <v>795.90600000000006</v>
      </c>
      <c r="H37" s="39">
        <f>+'FY23'!H37*(1+MYP!$K$9)</f>
        <v>795.90600000000006</v>
      </c>
      <c r="I37" s="39">
        <f>+'FY23'!I37*(1+MYP!$K$9)</f>
        <v>0</v>
      </c>
      <c r="J37" s="39">
        <f>+'FY23'!J37*(1+MYP!$K$9)</f>
        <v>0</v>
      </c>
      <c r="K37" s="39">
        <f>+'FY23'!K37*(1+MYP!$K$9)</f>
        <v>0</v>
      </c>
      <c r="L37" s="39">
        <f>+'FY23'!L37*(1+MYP!$K$9)</f>
        <v>795.90600000000006</v>
      </c>
      <c r="M37" s="39">
        <f>+'FY23'!M37*(1+MYP!$K$9)</f>
        <v>795.90600000000006</v>
      </c>
      <c r="N37" s="39">
        <f>+'FY23'!N37*(1+MYP!$K$9)</f>
        <v>0</v>
      </c>
      <c r="O37" s="39">
        <f>+'FY23'!O37*(1+MYP!$K$9)</f>
        <v>0</v>
      </c>
      <c r="P37" s="39">
        <f>+'FY23'!P37*(1+MYP!$K$9)</f>
        <v>0</v>
      </c>
      <c r="Q37" s="100"/>
      <c r="R37" s="41"/>
      <c r="S37" s="59">
        <f t="shared" si="14"/>
        <v>3183.6240000000003</v>
      </c>
      <c r="T37" s="41"/>
      <c r="U37" s="39">
        <f>'FY23'!S37</f>
        <v>3121.2000000000003</v>
      </c>
      <c r="V37" s="39">
        <f t="shared" si="15"/>
        <v>-62.423999999999978</v>
      </c>
      <c r="W37" s="39"/>
    </row>
    <row r="38" spans="3:23" s="37" customFormat="1" ht="12" x14ac:dyDescent="0.2">
      <c r="C38" s="200">
        <v>6161</v>
      </c>
      <c r="D38" s="37" t="s">
        <v>97</v>
      </c>
      <c r="E38" s="39">
        <f>+'FY23'!E38*(1+MYP!$K$9)</f>
        <v>0</v>
      </c>
      <c r="F38" s="39">
        <f>+'FY23'!F38*(1+MYP!$K$9)</f>
        <v>0</v>
      </c>
      <c r="G38" s="39">
        <f>+'FY23'!G38*(1+MYP!$K$9)</f>
        <v>0</v>
      </c>
      <c r="H38" s="39">
        <f>+'FY23'!H38*(1+MYP!$K$9)</f>
        <v>318.36240000000004</v>
      </c>
      <c r="I38" s="39">
        <f>+'FY23'!I38*(1+MYP!$K$9)</f>
        <v>318.36240000000004</v>
      </c>
      <c r="J38" s="39">
        <f>+'FY23'!J38*(1+MYP!$K$9)</f>
        <v>318.36240000000004</v>
      </c>
      <c r="K38" s="39">
        <f>+'FY23'!K38*(1+MYP!$K$9)</f>
        <v>318.36240000000004</v>
      </c>
      <c r="L38" s="39">
        <f>+'FY23'!L38*(1+MYP!$K$9)</f>
        <v>0</v>
      </c>
      <c r="M38" s="39">
        <f>+'FY23'!M38*(1+MYP!$K$9)</f>
        <v>0</v>
      </c>
      <c r="N38" s="39">
        <f>+'FY23'!N38*(1+MYP!$K$9)</f>
        <v>0</v>
      </c>
      <c r="O38" s="39">
        <f>+'FY23'!O38*(1+MYP!$K$9)</f>
        <v>0</v>
      </c>
      <c r="P38" s="39">
        <f>+'FY23'!P38*(1+MYP!$K$9)</f>
        <v>0</v>
      </c>
      <c r="Q38" s="100"/>
      <c r="R38" s="41"/>
      <c r="S38" s="59">
        <f t="shared" si="14"/>
        <v>1273.4496000000001</v>
      </c>
      <c r="T38" s="41"/>
      <c r="U38" s="39">
        <f>'FY23'!S38</f>
        <v>1248.48</v>
      </c>
      <c r="V38" s="39">
        <f t="shared" si="15"/>
        <v>-24.969600000000128</v>
      </c>
      <c r="W38" s="39"/>
    </row>
    <row r="39" spans="3:23" s="37" customFormat="1" ht="12" x14ac:dyDescent="0.2">
      <c r="C39" s="200">
        <v>6164</v>
      </c>
      <c r="D39" s="37" t="s">
        <v>98</v>
      </c>
      <c r="E39" s="39">
        <f>+'FY23'!E39*(1+MYP!$K$9)</f>
        <v>0</v>
      </c>
      <c r="F39" s="39">
        <f>+'FY23'!F39*(1+MYP!$K$9)</f>
        <v>0</v>
      </c>
      <c r="G39" s="39">
        <f>+'FY23'!G39*(1+MYP!$K$9)</f>
        <v>0</v>
      </c>
      <c r="H39" s="39">
        <f>+'FY23'!H39*(1+MYP!$K$9)</f>
        <v>265.30200000000002</v>
      </c>
      <c r="I39" s="39">
        <f>+'FY23'!I39*(1+MYP!$K$9)</f>
        <v>265.30200000000002</v>
      </c>
      <c r="J39" s="39">
        <f>+'FY23'!J39*(1+MYP!$K$9)</f>
        <v>265.30200000000002</v>
      </c>
      <c r="K39" s="39">
        <f>+'FY23'!K39*(1+MYP!$K$9)</f>
        <v>265.30200000000002</v>
      </c>
      <c r="L39" s="39">
        <f>+'FY23'!L39*(1+MYP!$K$9)</f>
        <v>0</v>
      </c>
      <c r="M39" s="39">
        <f>+'FY23'!M39*(1+MYP!$K$9)</f>
        <v>0</v>
      </c>
      <c r="N39" s="39">
        <f>+'FY23'!N39*(1+MYP!$K$9)</f>
        <v>0</v>
      </c>
      <c r="O39" s="39">
        <f>+'FY23'!O39*(1+MYP!$K$9)</f>
        <v>0</v>
      </c>
      <c r="P39" s="39">
        <f>+'FY23'!P39*(1+MYP!$K$9)</f>
        <v>0</v>
      </c>
      <c r="Q39" s="100"/>
      <c r="R39" s="41"/>
      <c r="S39" s="59">
        <f t="shared" si="14"/>
        <v>1061.2080000000001</v>
      </c>
      <c r="T39" s="41"/>
      <c r="U39" s="39">
        <f>'FY23'!S39</f>
        <v>1040.4000000000001</v>
      </c>
      <c r="V39" s="39">
        <f t="shared" si="15"/>
        <v>-20.807999999999993</v>
      </c>
      <c r="W39" s="39"/>
    </row>
    <row r="40" spans="3:23" s="37" customFormat="1" ht="12" x14ac:dyDescent="0.2">
      <c r="C40" s="200">
        <v>6167</v>
      </c>
      <c r="D40" s="37" t="s">
        <v>231</v>
      </c>
      <c r="E40" s="39">
        <f>+'FY23'!E40*(1+MYP!$K$9)</f>
        <v>0</v>
      </c>
      <c r="F40" s="39">
        <f>+'FY23'!F40*(1+MYP!$K$9)</f>
        <v>0</v>
      </c>
      <c r="G40" s="39">
        <f>+'FY23'!G40*(1+MYP!$K$9)</f>
        <v>0</v>
      </c>
      <c r="H40" s="39">
        <f>+'FY23'!H40*(1+MYP!$K$9)</f>
        <v>159.18120000000002</v>
      </c>
      <c r="I40" s="39">
        <f>+'FY23'!I40*(1+MYP!$K$9)</f>
        <v>159.18120000000002</v>
      </c>
      <c r="J40" s="39">
        <f>+'FY23'!J40*(1+MYP!$K$9)</f>
        <v>159.18120000000002</v>
      </c>
      <c r="K40" s="39">
        <f>+'FY23'!K40*(1+MYP!$K$9)</f>
        <v>159.18120000000002</v>
      </c>
      <c r="L40" s="39">
        <f>+'FY23'!L40*(1+MYP!$K$9)</f>
        <v>0</v>
      </c>
      <c r="M40" s="39">
        <f>+'FY23'!M40*(1+MYP!$K$9)</f>
        <v>0</v>
      </c>
      <c r="N40" s="39">
        <f>+'FY23'!N40*(1+MYP!$K$9)</f>
        <v>0</v>
      </c>
      <c r="O40" s="39">
        <f>+'FY23'!O40*(1+MYP!$K$9)</f>
        <v>0</v>
      </c>
      <c r="P40" s="39">
        <f>+'FY23'!P40*(1+MYP!$K$9)</f>
        <v>0</v>
      </c>
      <c r="Q40" s="100"/>
      <c r="R40" s="41"/>
      <c r="S40" s="59">
        <f t="shared" si="14"/>
        <v>636.72480000000007</v>
      </c>
      <c r="T40" s="41"/>
      <c r="U40" s="39">
        <f>'FY23'!S40</f>
        <v>624.24</v>
      </c>
      <c r="V40" s="39">
        <f t="shared" si="15"/>
        <v>-12.484800000000064</v>
      </c>
      <c r="W40" s="39"/>
    </row>
    <row r="41" spans="3:23" s="37" customFormat="1" ht="12" x14ac:dyDescent="0.2">
      <c r="C41" s="38"/>
      <c r="E41" s="50">
        <f t="shared" ref="E41:P41" si="16">SUBTOTAL(9,E31:E40)</f>
        <v>25948.73716443</v>
      </c>
      <c r="F41" s="50">
        <f t="shared" si="16"/>
        <v>25948.73716443</v>
      </c>
      <c r="G41" s="50">
        <f t="shared" si="16"/>
        <v>29322.31739643</v>
      </c>
      <c r="H41" s="50">
        <f t="shared" si="16"/>
        <v>29079.300764430001</v>
      </c>
      <c r="I41" s="50">
        <f t="shared" si="16"/>
        <v>27677.44499643</v>
      </c>
      <c r="J41" s="50">
        <f t="shared" si="16"/>
        <v>26691.582764430001</v>
      </c>
      <c r="K41" s="50">
        <f t="shared" si="16"/>
        <v>27677.44499643</v>
      </c>
      <c r="L41" s="50">
        <f t="shared" si="16"/>
        <v>28336.455164430001</v>
      </c>
      <c r="M41" s="50">
        <f t="shared" si="16"/>
        <v>29322.31739643</v>
      </c>
      <c r="N41" s="50">
        <f t="shared" si="16"/>
        <v>26934.59939643</v>
      </c>
      <c r="O41" s="50">
        <f t="shared" si="16"/>
        <v>25948.73716443</v>
      </c>
      <c r="P41" s="50">
        <f t="shared" si="16"/>
        <v>28336.455164430001</v>
      </c>
      <c r="Q41" s="51"/>
      <c r="R41" s="41"/>
      <c r="S41" s="61">
        <f>SUBTOTAL(9,S31:S40)</f>
        <v>331224.12953316001</v>
      </c>
      <c r="T41" s="41"/>
      <c r="U41" s="50">
        <f>SUBTOTAL(9,U31:U40)</f>
        <v>324729.53875800013</v>
      </c>
      <c r="V41" s="50">
        <f>SUBTOTAL(9,V31:V40)</f>
        <v>-6494.5907751599461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200">
        <v>6211</v>
      </c>
      <c r="D43" s="37" t="s">
        <v>198</v>
      </c>
      <c r="E43" s="39">
        <f>+'FY23'!E43*(1+MYP!$K$9)</f>
        <v>78.529392000000016</v>
      </c>
      <c r="F43" s="39">
        <f>+'FY23'!F43*(1+MYP!$K$9)</f>
        <v>78.529392000000016</v>
      </c>
      <c r="G43" s="39">
        <f>+'FY23'!G43*(1+MYP!$K$9)</f>
        <v>78.529392000000016</v>
      </c>
      <c r="H43" s="39">
        <f>+'FY23'!H43*(1+MYP!$K$9)</f>
        <v>78.529392000000016</v>
      </c>
      <c r="I43" s="39">
        <f>+'FY23'!I43*(1+MYP!$K$9)</f>
        <v>78.529392000000016</v>
      </c>
      <c r="J43" s="39">
        <f>+'FY23'!J43*(1+MYP!$K$9)</f>
        <v>78.529392000000016</v>
      </c>
      <c r="K43" s="39">
        <f>+'FY23'!K43*(1+MYP!$K$9)</f>
        <v>78.529392000000016</v>
      </c>
      <c r="L43" s="39">
        <f>+'FY23'!L43*(1+MYP!$K$9)</f>
        <v>78.529392000000016</v>
      </c>
      <c r="M43" s="39">
        <f>+'FY23'!M43*(1+MYP!$K$9)</f>
        <v>78.529392000000016</v>
      </c>
      <c r="N43" s="39">
        <f>+'FY23'!N43*(1+MYP!$K$9)</f>
        <v>78.529392000000016</v>
      </c>
      <c r="O43" s="39">
        <f>+'FY23'!O43*(1+MYP!$K$9)</f>
        <v>78.529392000000016</v>
      </c>
      <c r="P43" s="39">
        <f>+'FY23'!P43*(1+MYP!$K$9)</f>
        <v>78.529392000000016</v>
      </c>
      <c r="Q43" s="36"/>
      <c r="R43" s="41"/>
      <c r="S43" s="59">
        <f t="shared" ref="S43:S61" si="17">SUM(E43:Q43)</f>
        <v>942.35270400000024</v>
      </c>
      <c r="T43" s="41"/>
      <c r="U43" s="39">
        <f>'FY23'!S43</f>
        <v>923.87520000000006</v>
      </c>
      <c r="V43" s="39">
        <f t="shared" ref="V43:V61" si="18">U43-S43</f>
        <v>-18.477504000000181</v>
      </c>
      <c r="W43" s="39"/>
    </row>
    <row r="44" spans="3:23" s="37" customFormat="1" ht="12" x14ac:dyDescent="0.2">
      <c r="C44" s="200">
        <v>6214</v>
      </c>
      <c r="D44" s="37" t="s">
        <v>199</v>
      </c>
      <c r="E44" s="39">
        <f>+'FY23'!E44*(1+MYP!$K$9)</f>
        <v>39.264696000000008</v>
      </c>
      <c r="F44" s="39">
        <f>+'FY23'!F44*(1+MYP!$K$9)</f>
        <v>39.264696000000008</v>
      </c>
      <c r="G44" s="39">
        <f>+'FY23'!G44*(1+MYP!$K$9)</f>
        <v>39.264696000000008</v>
      </c>
      <c r="H44" s="39">
        <f>+'FY23'!H44*(1+MYP!$K$9)</f>
        <v>39.264696000000008</v>
      </c>
      <c r="I44" s="39">
        <f>+'FY23'!I44*(1+MYP!$K$9)</f>
        <v>39.264696000000008</v>
      </c>
      <c r="J44" s="39">
        <f>+'FY23'!J44*(1+MYP!$K$9)</f>
        <v>39.264696000000008</v>
      </c>
      <c r="K44" s="39">
        <f>+'FY23'!K44*(1+MYP!$K$9)</f>
        <v>39.264696000000008</v>
      </c>
      <c r="L44" s="39">
        <f>+'FY23'!L44*(1+MYP!$K$9)</f>
        <v>39.264696000000008</v>
      </c>
      <c r="M44" s="39">
        <f>+'FY23'!M44*(1+MYP!$K$9)</f>
        <v>39.264696000000008</v>
      </c>
      <c r="N44" s="39">
        <f>+'FY23'!N44*(1+MYP!$K$9)</f>
        <v>39.264696000000008</v>
      </c>
      <c r="O44" s="39">
        <f>+'FY23'!O44*(1+MYP!$K$9)</f>
        <v>39.264696000000008</v>
      </c>
      <c r="P44" s="39">
        <f>+'FY23'!P44*(1+MYP!$K$9)</f>
        <v>39.264696000000008</v>
      </c>
      <c r="Q44" s="36"/>
      <c r="R44" s="41"/>
      <c r="S44" s="59">
        <f t="shared" si="17"/>
        <v>471.17635200000012</v>
      </c>
      <c r="T44" s="41"/>
      <c r="U44" s="39">
        <f>'FY23'!S44</f>
        <v>461.93760000000003</v>
      </c>
      <c r="V44" s="39">
        <f t="shared" si="18"/>
        <v>-9.2387520000000904</v>
      </c>
      <c r="W44" s="39"/>
    </row>
    <row r="45" spans="3:23" s="37" customFormat="1" ht="12" x14ac:dyDescent="0.2">
      <c r="C45" s="200">
        <v>6217</v>
      </c>
      <c r="D45" s="37" t="s">
        <v>222</v>
      </c>
      <c r="E45" s="39">
        <f>+'FY23'!E45*(1+MYP!$K$9)</f>
        <v>39.264696000000008</v>
      </c>
      <c r="F45" s="39">
        <f>+'FY23'!F45*(1+MYP!$K$9)</f>
        <v>39.264696000000008</v>
      </c>
      <c r="G45" s="39">
        <f>+'FY23'!G45*(1+MYP!$K$9)</f>
        <v>39.264696000000008</v>
      </c>
      <c r="H45" s="39">
        <f>+'FY23'!H45*(1+MYP!$K$9)</f>
        <v>39.264696000000008</v>
      </c>
      <c r="I45" s="39">
        <f>+'FY23'!I45*(1+MYP!$K$9)</f>
        <v>39.264696000000008</v>
      </c>
      <c r="J45" s="39">
        <f>+'FY23'!J45*(1+MYP!$K$9)</f>
        <v>39.264696000000008</v>
      </c>
      <c r="K45" s="39">
        <f>+'FY23'!K45*(1+MYP!$K$9)</f>
        <v>39.264696000000008</v>
      </c>
      <c r="L45" s="39">
        <f>+'FY23'!L45*(1+MYP!$K$9)</f>
        <v>39.264696000000008</v>
      </c>
      <c r="M45" s="39">
        <f>+'FY23'!M45*(1+MYP!$K$9)</f>
        <v>39.264696000000008</v>
      </c>
      <c r="N45" s="39">
        <f>+'FY23'!N45*(1+MYP!$K$9)</f>
        <v>39.264696000000008</v>
      </c>
      <c r="O45" s="39">
        <f>+'FY23'!O45*(1+MYP!$K$9)</f>
        <v>39.264696000000008</v>
      </c>
      <c r="P45" s="39">
        <f>+'FY23'!P45*(1+MYP!$K$9)</f>
        <v>39.264696000000008</v>
      </c>
      <c r="Q45" s="36"/>
      <c r="R45" s="41"/>
      <c r="S45" s="59">
        <f t="shared" si="17"/>
        <v>471.17635200000012</v>
      </c>
      <c r="T45" s="41"/>
      <c r="U45" s="39">
        <f>'FY23'!S45</f>
        <v>461.93760000000003</v>
      </c>
      <c r="V45" s="39">
        <f t="shared" si="18"/>
        <v>-9.2387520000000904</v>
      </c>
      <c r="W45" s="39"/>
    </row>
    <row r="46" spans="3:23" s="37" customFormat="1" ht="12" x14ac:dyDescent="0.2">
      <c r="C46" s="200">
        <v>6227</v>
      </c>
      <c r="D46" s="37" t="s">
        <v>221</v>
      </c>
      <c r="E46" s="39">
        <f>+'FY23'!E46*(1+MYP!$K$9)</f>
        <v>216.68452416000002</v>
      </c>
      <c r="F46" s="39">
        <f>+'FY23'!F46*(1+MYP!$K$9)</f>
        <v>216.68452416000002</v>
      </c>
      <c r="G46" s="39">
        <f>+'FY23'!G46*(1+MYP!$K$9)</f>
        <v>216.68452416000002</v>
      </c>
      <c r="H46" s="39">
        <f>+'FY23'!H46*(1+MYP!$K$9)</f>
        <v>216.68452416000002</v>
      </c>
      <c r="I46" s="39">
        <f>+'FY23'!I46*(1+MYP!$K$9)</f>
        <v>216.68452416000002</v>
      </c>
      <c r="J46" s="39">
        <f>+'FY23'!J46*(1+MYP!$K$9)</f>
        <v>216.68452416000002</v>
      </c>
      <c r="K46" s="39">
        <f>+'FY23'!K46*(1+MYP!$K$9)</f>
        <v>216.68452416000002</v>
      </c>
      <c r="L46" s="39">
        <f>+'FY23'!L46*(1+MYP!$K$9)</f>
        <v>216.68452416000002</v>
      </c>
      <c r="M46" s="39">
        <f>+'FY23'!M46*(1+MYP!$K$9)</f>
        <v>216.68452416000002</v>
      </c>
      <c r="N46" s="39">
        <f>+'FY23'!N46*(1+MYP!$K$9)</f>
        <v>216.68452416000002</v>
      </c>
      <c r="O46" s="39">
        <f>+'FY23'!O46*(1+MYP!$K$9)</f>
        <v>216.68452416000002</v>
      </c>
      <c r="P46" s="39">
        <f>+'FY23'!P46*(1+MYP!$K$9)</f>
        <v>216.68452416000002</v>
      </c>
      <c r="Q46" s="36"/>
      <c r="R46" s="41"/>
      <c r="S46" s="59">
        <f t="shared" si="17"/>
        <v>2600.2142899199994</v>
      </c>
      <c r="T46" s="41"/>
      <c r="U46" s="39">
        <f>'FY23'!S46</f>
        <v>2549.2296960000003</v>
      </c>
      <c r="V46" s="39">
        <f t="shared" si="18"/>
        <v>-50.984593919999043</v>
      </c>
      <c r="W46" s="39"/>
    </row>
    <row r="47" spans="3:23" s="37" customFormat="1" ht="12" x14ac:dyDescent="0.2">
      <c r="C47" s="200">
        <v>6231</v>
      </c>
      <c r="D47" s="37" t="s">
        <v>205</v>
      </c>
      <c r="E47" s="39">
        <f>+'FY23'!E47*(1+MYP!$K$9)</f>
        <v>1475.9626784645252</v>
      </c>
      <c r="F47" s="39">
        <f>+'FY23'!F47*(1+MYP!$K$9)</f>
        <v>1475.9626784645252</v>
      </c>
      <c r="G47" s="39">
        <f>+'FY23'!G47*(1+MYP!$K$9)</f>
        <v>1475.9626784645252</v>
      </c>
      <c r="H47" s="39">
        <f>+'FY23'!H47*(1+MYP!$K$9)</f>
        <v>1475.9626784645252</v>
      </c>
      <c r="I47" s="39">
        <f>+'FY23'!I47*(1+MYP!$K$9)</f>
        <v>1475.9626784645252</v>
      </c>
      <c r="J47" s="39">
        <f>+'FY23'!J47*(1+MYP!$K$9)</f>
        <v>1475.9626784645252</v>
      </c>
      <c r="K47" s="39">
        <f>+'FY23'!K47*(1+MYP!$K$9)</f>
        <v>1475.9626784645252</v>
      </c>
      <c r="L47" s="39">
        <f>+'FY23'!L47*(1+MYP!$K$9)</f>
        <v>1475.9626784645252</v>
      </c>
      <c r="M47" s="39">
        <f>+'FY23'!M47*(1+MYP!$K$9)</f>
        <v>1475.9626784645252</v>
      </c>
      <c r="N47" s="39">
        <f>+'FY23'!N47*(1+MYP!$K$9)</f>
        <v>1475.9626784645252</v>
      </c>
      <c r="O47" s="39">
        <f>+'FY23'!O47*(1+MYP!$K$9)</f>
        <v>1475.9626784645252</v>
      </c>
      <c r="P47" s="39">
        <f>+'FY23'!P47*(1+MYP!$K$9)</f>
        <v>1475.9626784645252</v>
      </c>
      <c r="Q47" s="36"/>
      <c r="R47" s="41"/>
      <c r="S47" s="59">
        <f>SUM(E47:Q47)</f>
        <v>17711.552141574306</v>
      </c>
      <c r="T47" s="41"/>
      <c r="U47" s="39">
        <f>'FY23'!S47</f>
        <v>17364.266805465002</v>
      </c>
      <c r="V47" s="39">
        <f t="shared" si="18"/>
        <v>-347.2853361093039</v>
      </c>
      <c r="W47" s="39"/>
    </row>
    <row r="48" spans="3:23" s="37" customFormat="1" ht="12" x14ac:dyDescent="0.2">
      <c r="C48" s="200">
        <v>6234</v>
      </c>
      <c r="D48" s="37" t="s">
        <v>206</v>
      </c>
      <c r="E48" s="39">
        <f>+'FY23'!E48*(1+MYP!$K$9)</f>
        <v>2544.8223827812499</v>
      </c>
      <c r="F48" s="39">
        <f>+'FY23'!F48*(1+MYP!$K$9)</f>
        <v>2544.8223827812499</v>
      </c>
      <c r="G48" s="39">
        <f>+'FY23'!G48*(1+MYP!$K$9)</f>
        <v>2544.8223827812499</v>
      </c>
      <c r="H48" s="39">
        <f>+'FY23'!H48*(1+MYP!$K$9)</f>
        <v>2544.8223827812499</v>
      </c>
      <c r="I48" s="39">
        <f>+'FY23'!I48*(1+MYP!$K$9)</f>
        <v>2544.8223827812499</v>
      </c>
      <c r="J48" s="39">
        <f>+'FY23'!J48*(1+MYP!$K$9)</f>
        <v>2544.8223827812499</v>
      </c>
      <c r="K48" s="39">
        <f>+'FY23'!K48*(1+MYP!$K$9)</f>
        <v>2544.8223827812499</v>
      </c>
      <c r="L48" s="39">
        <f>+'FY23'!L48*(1+MYP!$K$9)</f>
        <v>2544.8223827812499</v>
      </c>
      <c r="M48" s="39">
        <f>+'FY23'!M48*(1+MYP!$K$9)</f>
        <v>2544.8223827812499</v>
      </c>
      <c r="N48" s="39">
        <f>+'FY23'!N48*(1+MYP!$K$9)</f>
        <v>2544.8223827812499</v>
      </c>
      <c r="O48" s="39">
        <f>+'FY23'!O48*(1+MYP!$K$9)</f>
        <v>2544.8223827812499</v>
      </c>
      <c r="P48" s="39">
        <f>+'FY23'!P48*(1+MYP!$K$9)</f>
        <v>2544.8223827812499</v>
      </c>
      <c r="Q48" s="36"/>
      <c r="R48" s="41"/>
      <c r="S48" s="59">
        <f t="shared" si="17"/>
        <v>30537.868593375006</v>
      </c>
      <c r="T48" s="41"/>
      <c r="U48" s="39">
        <f>'FY23'!S48</f>
        <v>29939.086856250007</v>
      </c>
      <c r="V48" s="39">
        <f t="shared" si="18"/>
        <v>-598.78173712499847</v>
      </c>
      <c r="W48" s="39"/>
    </row>
    <row r="49" spans="3:23" s="37" customFormat="1" ht="12" x14ac:dyDescent="0.2">
      <c r="C49" s="200">
        <v>6237</v>
      </c>
      <c r="D49" s="37" t="s">
        <v>223</v>
      </c>
      <c r="E49" s="39">
        <f>+'FY23'!E49*(1+MYP!$K$9)</f>
        <v>621.45796987979998</v>
      </c>
      <c r="F49" s="39">
        <f>+'FY23'!F49*(1+MYP!$K$9)</f>
        <v>621.45796987979998</v>
      </c>
      <c r="G49" s="39">
        <f>+'FY23'!G49*(1+MYP!$K$9)</f>
        <v>621.45796987979998</v>
      </c>
      <c r="H49" s="39">
        <f>+'FY23'!H49*(1+MYP!$K$9)</f>
        <v>621.45796987979998</v>
      </c>
      <c r="I49" s="39">
        <f>+'FY23'!I49*(1+MYP!$K$9)</f>
        <v>621.45796987979998</v>
      </c>
      <c r="J49" s="39">
        <f>+'FY23'!J49*(1+MYP!$K$9)</f>
        <v>621.45796987979998</v>
      </c>
      <c r="K49" s="39">
        <f>+'FY23'!K49*(1+MYP!$K$9)</f>
        <v>621.45796987979998</v>
      </c>
      <c r="L49" s="39">
        <f>+'FY23'!L49*(1+MYP!$K$9)</f>
        <v>621.45796987979998</v>
      </c>
      <c r="M49" s="39">
        <f>+'FY23'!M49*(1+MYP!$K$9)</f>
        <v>621.45796987979998</v>
      </c>
      <c r="N49" s="39">
        <f>+'FY23'!N49*(1+MYP!$K$9)</f>
        <v>621.45796987979998</v>
      </c>
      <c r="O49" s="39">
        <f>+'FY23'!O49*(1+MYP!$K$9)</f>
        <v>621.45796987979998</v>
      </c>
      <c r="P49" s="39">
        <f>+'FY23'!P49*(1+MYP!$K$9)</f>
        <v>621.45796987979998</v>
      </c>
      <c r="Q49" s="36"/>
      <c r="R49" s="41"/>
      <c r="S49" s="59">
        <f t="shared" si="17"/>
        <v>7457.4956385575979</v>
      </c>
      <c r="T49" s="41"/>
      <c r="U49" s="39">
        <f>'FY23'!S49</f>
        <v>7311.2702338799972</v>
      </c>
      <c r="V49" s="39">
        <f t="shared" si="18"/>
        <v>-146.22540467760064</v>
      </c>
      <c r="W49" s="39"/>
    </row>
    <row r="50" spans="3:23" s="37" customFormat="1" ht="12" x14ac:dyDescent="0.2">
      <c r="C50" s="200">
        <v>6241</v>
      </c>
      <c r="D50" s="37" t="s">
        <v>196</v>
      </c>
      <c r="E50" s="39">
        <f>+'FY23'!E50*(1+MYP!$K$9)</f>
        <v>140.33743500154503</v>
      </c>
      <c r="F50" s="39">
        <f>+'FY23'!F50*(1+MYP!$K$9)</f>
        <v>140.33743500154503</v>
      </c>
      <c r="G50" s="39">
        <f>+'FY23'!G50*(1+MYP!$K$9)</f>
        <v>163.41870900154504</v>
      </c>
      <c r="H50" s="39">
        <f>+'FY23'!H50*(1+MYP!$K$9)</f>
        <v>168.03496380154502</v>
      </c>
      <c r="I50" s="39">
        <f>+'FY23'!I50*(1+MYP!$K$9)</f>
        <v>144.95368980154501</v>
      </c>
      <c r="J50" s="39">
        <f>+'FY23'!J50*(1+MYP!$K$9)</f>
        <v>144.95368980154501</v>
      </c>
      <c r="K50" s="39">
        <f>+'FY23'!K50*(1+MYP!$K$9)</f>
        <v>144.95368980154501</v>
      </c>
      <c r="L50" s="39">
        <f>+'FY23'!L50*(1+MYP!$K$9)</f>
        <v>163.41870900154504</v>
      </c>
      <c r="M50" s="39">
        <f>+'FY23'!M50*(1+MYP!$K$9)</f>
        <v>163.41870900154504</v>
      </c>
      <c r="N50" s="39">
        <f>+'FY23'!N50*(1+MYP!$K$9)</f>
        <v>140.33743500154503</v>
      </c>
      <c r="O50" s="39">
        <f>+'FY23'!O50*(1+MYP!$K$9)</f>
        <v>140.33743500154503</v>
      </c>
      <c r="P50" s="39">
        <f>+'FY23'!P50*(1+MYP!$K$9)</f>
        <v>140.33743500154503</v>
      </c>
      <c r="Q50" s="36"/>
      <c r="R50" s="41"/>
      <c r="S50" s="59">
        <f t="shared" si="17"/>
        <v>1794.8393352185408</v>
      </c>
      <c r="T50" s="41"/>
      <c r="U50" s="39">
        <f>'FY23'!S50</f>
        <v>1759.6464070770003</v>
      </c>
      <c r="V50" s="39">
        <f t="shared" si="18"/>
        <v>-35.192928141540506</v>
      </c>
      <c r="W50" s="39"/>
    </row>
    <row r="51" spans="3:23" s="37" customFormat="1" ht="12" x14ac:dyDescent="0.2">
      <c r="C51" s="200">
        <v>6244</v>
      </c>
      <c r="D51" s="37" t="s">
        <v>197</v>
      </c>
      <c r="E51" s="39">
        <f>+'FY23'!E51*(1+MYP!$K$9)</f>
        <v>126.15358820625002</v>
      </c>
      <c r="F51" s="39">
        <f>+'FY23'!F51*(1+MYP!$K$9)</f>
        <v>126.15358820625002</v>
      </c>
      <c r="G51" s="39">
        <f>+'FY23'!G51*(1+MYP!$K$9)</f>
        <v>140.44859057025002</v>
      </c>
      <c r="H51" s="39">
        <f>+'FY23'!H51*(1+MYP!$K$9)</f>
        <v>130.00046720624999</v>
      </c>
      <c r="I51" s="39">
        <f>+'FY23'!I51*(1+MYP!$K$9)</f>
        <v>144.29546957024999</v>
      </c>
      <c r="J51" s="39">
        <f>+'FY23'!J51*(1+MYP!$K$9)</f>
        <v>130.00046720624999</v>
      </c>
      <c r="K51" s="39">
        <f>+'FY23'!K51*(1+MYP!$K$9)</f>
        <v>144.29546957024999</v>
      </c>
      <c r="L51" s="39">
        <f>+'FY23'!L51*(1+MYP!$K$9)</f>
        <v>126.15358820625002</v>
      </c>
      <c r="M51" s="39">
        <f>+'FY23'!M51*(1+MYP!$K$9)</f>
        <v>140.44859057025002</v>
      </c>
      <c r="N51" s="39">
        <f>+'FY23'!N51*(1+MYP!$K$9)</f>
        <v>140.44859057025002</v>
      </c>
      <c r="O51" s="39">
        <f>+'FY23'!O51*(1+MYP!$K$9)</f>
        <v>126.15358820625002</v>
      </c>
      <c r="P51" s="39">
        <f>+'FY23'!P51*(1+MYP!$K$9)</f>
        <v>160.77549920625</v>
      </c>
      <c r="Q51" s="36"/>
      <c r="R51" s="41"/>
      <c r="S51" s="59">
        <f t="shared" si="17"/>
        <v>1635.3274972950001</v>
      </c>
      <c r="T51" s="41"/>
      <c r="U51" s="39">
        <f>'FY23'!S51</f>
        <v>1603.2622522500003</v>
      </c>
      <c r="V51" s="39">
        <f t="shared" si="18"/>
        <v>-32.065245044999756</v>
      </c>
      <c r="W51" s="39"/>
    </row>
    <row r="52" spans="3:23" s="37" customFormat="1" ht="12" x14ac:dyDescent="0.2">
      <c r="C52" s="200">
        <v>6247</v>
      </c>
      <c r="D52" s="37" t="s">
        <v>224</v>
      </c>
      <c r="E52" s="39">
        <f>+'FY23'!E52*(1+MYP!$K$9)</f>
        <v>109.76566567644002</v>
      </c>
      <c r="F52" s="39">
        <f>+'FY23'!F52*(1+MYP!$K$9)</f>
        <v>109.76566567644002</v>
      </c>
      <c r="G52" s="39">
        <f>+'FY23'!G52*(1+MYP!$K$9)</f>
        <v>121.30630267644003</v>
      </c>
      <c r="H52" s="39">
        <f>+'FY23'!H52*(1+MYP!$K$9)</f>
        <v>123.61443007644002</v>
      </c>
      <c r="I52" s="39">
        <f>+'FY23'!I52*(1+MYP!$K$9)</f>
        <v>112.07379307644001</v>
      </c>
      <c r="J52" s="39">
        <f>+'FY23'!J52*(1+MYP!$K$9)</f>
        <v>112.07379307644001</v>
      </c>
      <c r="K52" s="39">
        <f>+'FY23'!K52*(1+MYP!$K$9)</f>
        <v>112.07379307644001</v>
      </c>
      <c r="L52" s="39">
        <f>+'FY23'!L52*(1+MYP!$K$9)</f>
        <v>121.30630267644003</v>
      </c>
      <c r="M52" s="39">
        <f>+'FY23'!M52*(1+MYP!$K$9)</f>
        <v>121.30630267644003</v>
      </c>
      <c r="N52" s="39">
        <f>+'FY23'!N52*(1+MYP!$K$9)</f>
        <v>109.76566567644002</v>
      </c>
      <c r="O52" s="39">
        <f>+'FY23'!O52*(1+MYP!$K$9)</f>
        <v>109.76566567644002</v>
      </c>
      <c r="P52" s="39">
        <f>+'FY23'!P52*(1+MYP!$K$9)</f>
        <v>109.76566567644002</v>
      </c>
      <c r="Q52" s="36"/>
      <c r="R52" s="41"/>
      <c r="S52" s="59">
        <f t="shared" si="17"/>
        <v>1372.5830457172801</v>
      </c>
      <c r="T52" s="41"/>
      <c r="U52" s="39">
        <f>'FY23'!S52</f>
        <v>1345.6696526640001</v>
      </c>
      <c r="V52" s="39">
        <f t="shared" si="18"/>
        <v>-26.91339305328006</v>
      </c>
      <c r="W52" s="39"/>
    </row>
    <row r="53" spans="3:23" s="37" customFormat="1" ht="12" x14ac:dyDescent="0.2">
      <c r="C53" s="200">
        <v>6261</v>
      </c>
      <c r="D53" s="37" t="s">
        <v>207</v>
      </c>
      <c r="E53" s="39">
        <f>+'FY23'!E53*(1+MYP!$K$9)</f>
        <v>82.774224000000004</v>
      </c>
      <c r="F53" s="39">
        <f>+'FY23'!F53*(1+MYP!$K$9)</f>
        <v>82.774224000000004</v>
      </c>
      <c r="G53" s="39">
        <f>+'FY23'!G53*(1+MYP!$K$9)</f>
        <v>82.774224000000004</v>
      </c>
      <c r="H53" s="39">
        <f>+'FY23'!H53*(1+MYP!$K$9)</f>
        <v>82.774224000000004</v>
      </c>
      <c r="I53" s="39">
        <f>+'FY23'!I53*(1+MYP!$K$9)</f>
        <v>82.774224000000004</v>
      </c>
      <c r="J53" s="39">
        <f>+'FY23'!J53*(1+MYP!$K$9)</f>
        <v>82.774224000000004</v>
      </c>
      <c r="K53" s="39">
        <f>+'FY23'!K53*(1+MYP!$K$9)</f>
        <v>82.774224000000004</v>
      </c>
      <c r="L53" s="39">
        <f>+'FY23'!L53*(1+MYP!$K$9)</f>
        <v>82.774224000000004</v>
      </c>
      <c r="M53" s="39">
        <f>+'FY23'!M53*(1+MYP!$K$9)</f>
        <v>82.774224000000004</v>
      </c>
      <c r="N53" s="39">
        <f>+'FY23'!N53*(1+MYP!$K$9)</f>
        <v>82.774224000000004</v>
      </c>
      <c r="O53" s="39">
        <f>+'FY23'!O53*(1+MYP!$K$9)</f>
        <v>82.774224000000004</v>
      </c>
      <c r="P53" s="39">
        <f>+'FY23'!P53*(1+MYP!$K$9)</f>
        <v>82.774224000000004</v>
      </c>
      <c r="Q53" s="36"/>
      <c r="R53" s="41"/>
      <c r="S53" s="59">
        <f t="shared" si="17"/>
        <v>993.29068800000005</v>
      </c>
      <c r="T53" s="41"/>
      <c r="U53" s="39">
        <f>'FY23'!S53</f>
        <v>973.81440000000009</v>
      </c>
      <c r="V53" s="39">
        <f t="shared" si="18"/>
        <v>-19.476287999999954</v>
      </c>
      <c r="W53" s="39"/>
    </row>
    <row r="54" spans="3:23" s="37" customFormat="1" ht="12" x14ac:dyDescent="0.2">
      <c r="C54" s="200">
        <v>6264</v>
      </c>
      <c r="D54" s="37" t="s">
        <v>208</v>
      </c>
      <c r="E54" s="39">
        <f>+'FY23'!E54*(1+MYP!$K$9)</f>
        <v>41.387112000000002</v>
      </c>
      <c r="F54" s="39">
        <f>+'FY23'!F54*(1+MYP!$K$9)</f>
        <v>41.387112000000002</v>
      </c>
      <c r="G54" s="39">
        <f>+'FY23'!G54*(1+MYP!$K$9)</f>
        <v>41.387112000000002</v>
      </c>
      <c r="H54" s="39">
        <f>+'FY23'!H54*(1+MYP!$K$9)</f>
        <v>41.387112000000002</v>
      </c>
      <c r="I54" s="39">
        <f>+'FY23'!I54*(1+MYP!$K$9)</f>
        <v>41.387112000000002</v>
      </c>
      <c r="J54" s="39">
        <f>+'FY23'!J54*(1+MYP!$K$9)</f>
        <v>41.387112000000002</v>
      </c>
      <c r="K54" s="39">
        <f>+'FY23'!K54*(1+MYP!$K$9)</f>
        <v>41.387112000000002</v>
      </c>
      <c r="L54" s="39">
        <f>+'FY23'!L54*(1+MYP!$K$9)</f>
        <v>41.387112000000002</v>
      </c>
      <c r="M54" s="39">
        <f>+'FY23'!M54*(1+MYP!$K$9)</f>
        <v>41.387112000000002</v>
      </c>
      <c r="N54" s="39">
        <f>+'FY23'!N54*(1+MYP!$K$9)</f>
        <v>41.387112000000002</v>
      </c>
      <c r="O54" s="39">
        <f>+'FY23'!O54*(1+MYP!$K$9)</f>
        <v>41.387112000000002</v>
      </c>
      <c r="P54" s="39">
        <f>+'FY23'!P54*(1+MYP!$K$9)</f>
        <v>41.387112000000002</v>
      </c>
      <c r="Q54" s="36"/>
      <c r="R54" s="41"/>
      <c r="S54" s="59">
        <f t="shared" si="17"/>
        <v>496.64534400000002</v>
      </c>
      <c r="T54" s="41"/>
      <c r="U54" s="39">
        <f>'FY23'!S54</f>
        <v>486.90720000000005</v>
      </c>
      <c r="V54" s="39">
        <f t="shared" si="18"/>
        <v>-9.738143999999977</v>
      </c>
      <c r="W54" s="39"/>
    </row>
    <row r="55" spans="3:23" s="37" customFormat="1" ht="12" x14ac:dyDescent="0.2">
      <c r="C55" s="200">
        <v>6267</v>
      </c>
      <c r="D55" s="37" t="s">
        <v>225</v>
      </c>
      <c r="E55" s="39">
        <f>+'FY23'!E55*(1+MYP!$K$9)</f>
        <v>93.810787199999993</v>
      </c>
      <c r="F55" s="39">
        <f>+'FY23'!F55*(1+MYP!$K$9)</f>
        <v>93.810787199999993</v>
      </c>
      <c r="G55" s="39">
        <f>+'FY23'!G55*(1+MYP!$K$9)</f>
        <v>93.810787199999993</v>
      </c>
      <c r="H55" s="39">
        <f>+'FY23'!H55*(1+MYP!$K$9)</f>
        <v>93.810787199999993</v>
      </c>
      <c r="I55" s="39">
        <f>+'FY23'!I55*(1+MYP!$K$9)</f>
        <v>93.810787199999993</v>
      </c>
      <c r="J55" s="39">
        <f>+'FY23'!J55*(1+MYP!$K$9)</f>
        <v>93.810787199999993</v>
      </c>
      <c r="K55" s="39">
        <f>+'FY23'!K55*(1+MYP!$K$9)</f>
        <v>93.810787199999993</v>
      </c>
      <c r="L55" s="39">
        <f>+'FY23'!L55*(1+MYP!$K$9)</f>
        <v>93.810787199999993</v>
      </c>
      <c r="M55" s="39">
        <f>+'FY23'!M55*(1+MYP!$K$9)</f>
        <v>93.810787199999993</v>
      </c>
      <c r="N55" s="39">
        <f>+'FY23'!N55*(1+MYP!$K$9)</f>
        <v>93.810787199999993</v>
      </c>
      <c r="O55" s="39">
        <f>+'FY23'!O55*(1+MYP!$K$9)</f>
        <v>93.810787199999993</v>
      </c>
      <c r="P55" s="39">
        <f>+'FY23'!P55*(1+MYP!$K$9)</f>
        <v>93.810787199999993</v>
      </c>
      <c r="Q55" s="36"/>
      <c r="R55" s="41"/>
      <c r="S55" s="59">
        <f t="shared" si="17"/>
        <v>1125.7294464000001</v>
      </c>
      <c r="T55" s="41"/>
      <c r="U55" s="39">
        <f>'FY23'!S55</f>
        <v>1103.6563199999998</v>
      </c>
      <c r="V55" s="39">
        <f t="shared" si="18"/>
        <v>-22.073126400000319</v>
      </c>
      <c r="W55" s="39"/>
    </row>
    <row r="56" spans="3:23" s="37" customFormat="1" ht="12" x14ac:dyDescent="0.2">
      <c r="C56" s="200">
        <v>6271</v>
      </c>
      <c r="D56" s="37" t="s">
        <v>209</v>
      </c>
      <c r="E56" s="39">
        <f>+'FY23'!E56*(1+MYP!$K$9)</f>
        <v>67.048595855865017</v>
      </c>
      <c r="F56" s="39">
        <f>+'FY23'!F56*(1+MYP!$K$9)</f>
        <v>67.048595855865017</v>
      </c>
      <c r="G56" s="39">
        <f>+'FY23'!G56*(1+MYP!$K$9)</f>
        <v>67.048595855865017</v>
      </c>
      <c r="H56" s="39">
        <f>+'FY23'!H56*(1+MYP!$K$9)</f>
        <v>67.048595855865017</v>
      </c>
      <c r="I56" s="39">
        <f>+'FY23'!I56*(1+MYP!$K$9)</f>
        <v>67.048595855865017</v>
      </c>
      <c r="J56" s="39">
        <f>+'FY23'!J56*(1+MYP!$K$9)</f>
        <v>67.048595855865017</v>
      </c>
      <c r="K56" s="39">
        <f>+'FY23'!K56*(1+MYP!$K$9)</f>
        <v>67.048595855865017</v>
      </c>
      <c r="L56" s="39">
        <f>+'FY23'!L56*(1+MYP!$K$9)</f>
        <v>67.048595855865017</v>
      </c>
      <c r="M56" s="39">
        <f>+'FY23'!M56*(1+MYP!$K$9)</f>
        <v>67.048595855865017</v>
      </c>
      <c r="N56" s="39">
        <f>+'FY23'!N56*(1+MYP!$K$9)</f>
        <v>67.048595855865017</v>
      </c>
      <c r="O56" s="39">
        <f>+'FY23'!O56*(1+MYP!$K$9)</f>
        <v>67.048595855865017</v>
      </c>
      <c r="P56" s="39">
        <f>+'FY23'!P56*(1+MYP!$K$9)</f>
        <v>67.048595855865017</v>
      </c>
      <c r="Q56" s="36"/>
      <c r="R56" s="41"/>
      <c r="S56" s="59">
        <f t="shared" si="17"/>
        <v>804.58315027037997</v>
      </c>
      <c r="T56" s="41"/>
      <c r="U56" s="39">
        <f>'FY23'!S56</f>
        <v>788.80701006900017</v>
      </c>
      <c r="V56" s="39">
        <f t="shared" si="18"/>
        <v>-15.776140201379803</v>
      </c>
      <c r="W56" s="39"/>
    </row>
    <row r="57" spans="3:23" s="37" customFormat="1" ht="12" x14ac:dyDescent="0.2">
      <c r="C57" s="200">
        <v>6274</v>
      </c>
      <c r="D57" s="37" t="s">
        <v>210</v>
      </c>
      <c r="E57" s="39">
        <f>+'FY23'!E57*(1+MYP!$K$9)</f>
        <v>61.089820301250008</v>
      </c>
      <c r="F57" s="39">
        <f>+'FY23'!F57*(1+MYP!$K$9)</f>
        <v>61.089820301250008</v>
      </c>
      <c r="G57" s="39">
        <f>+'FY23'!G57*(1+MYP!$K$9)</f>
        <v>61.089820301250008</v>
      </c>
      <c r="H57" s="39">
        <f>+'FY23'!H57*(1+MYP!$K$9)</f>
        <v>61.089820301250008</v>
      </c>
      <c r="I57" s="39">
        <f>+'FY23'!I57*(1+MYP!$K$9)</f>
        <v>61.089820301250008</v>
      </c>
      <c r="J57" s="39">
        <f>+'FY23'!J57*(1+MYP!$K$9)</f>
        <v>61.089820301250008</v>
      </c>
      <c r="K57" s="39">
        <f>+'FY23'!K57*(1+MYP!$K$9)</f>
        <v>61.089820301250008</v>
      </c>
      <c r="L57" s="39">
        <f>+'FY23'!L57*(1+MYP!$K$9)</f>
        <v>61.089820301250008</v>
      </c>
      <c r="M57" s="39">
        <f>+'FY23'!M57*(1+MYP!$K$9)</f>
        <v>61.089820301250008</v>
      </c>
      <c r="N57" s="39">
        <f>+'FY23'!N57*(1+MYP!$K$9)</f>
        <v>61.089820301250008</v>
      </c>
      <c r="O57" s="39">
        <f>+'FY23'!O57*(1+MYP!$K$9)</f>
        <v>61.089820301250008</v>
      </c>
      <c r="P57" s="39">
        <f>+'FY23'!P57*(1+MYP!$K$9)</f>
        <v>61.089820301250008</v>
      </c>
      <c r="Q57" s="36"/>
      <c r="R57" s="41"/>
      <c r="S57" s="59">
        <f t="shared" si="17"/>
        <v>733.07784361500023</v>
      </c>
      <c r="T57" s="41"/>
      <c r="U57" s="39">
        <f>'FY23'!S57</f>
        <v>718.70376825000005</v>
      </c>
      <c r="V57" s="39">
        <f t="shared" si="18"/>
        <v>-14.374075365000181</v>
      </c>
      <c r="W57" s="39"/>
    </row>
    <row r="58" spans="3:23" s="37" customFormat="1" ht="12" x14ac:dyDescent="0.2">
      <c r="C58" s="200">
        <v>6277</v>
      </c>
      <c r="D58" s="37" t="s">
        <v>226</v>
      </c>
      <c r="E58" s="39">
        <f>+'FY23'!E58*(1+MYP!$K$9)</f>
        <v>51.274654006679995</v>
      </c>
      <c r="F58" s="39">
        <f>+'FY23'!F58*(1+MYP!$K$9)</f>
        <v>51.274654006679995</v>
      </c>
      <c r="G58" s="39">
        <f>+'FY23'!G58*(1+MYP!$K$9)</f>
        <v>51.274654006679995</v>
      </c>
      <c r="H58" s="39">
        <f>+'FY23'!H58*(1+MYP!$K$9)</f>
        <v>51.274654006679995</v>
      </c>
      <c r="I58" s="39">
        <f>+'FY23'!I58*(1+MYP!$K$9)</f>
        <v>51.274654006679995</v>
      </c>
      <c r="J58" s="39">
        <f>+'FY23'!J58*(1+MYP!$K$9)</f>
        <v>51.274654006679995</v>
      </c>
      <c r="K58" s="39">
        <f>+'FY23'!K58*(1+MYP!$K$9)</f>
        <v>51.274654006679995</v>
      </c>
      <c r="L58" s="39">
        <f>+'FY23'!L58*(1+MYP!$K$9)</f>
        <v>51.274654006679995</v>
      </c>
      <c r="M58" s="39">
        <f>+'FY23'!M58*(1+MYP!$K$9)</f>
        <v>51.274654006679995</v>
      </c>
      <c r="N58" s="39">
        <f>+'FY23'!N58*(1+MYP!$K$9)</f>
        <v>51.274654006679995</v>
      </c>
      <c r="O58" s="39">
        <f>+'FY23'!O58*(1+MYP!$K$9)</f>
        <v>51.274654006679995</v>
      </c>
      <c r="P58" s="39">
        <f>+'FY23'!P58*(1+MYP!$K$9)</f>
        <v>51.274654006679995</v>
      </c>
      <c r="Q58" s="36"/>
      <c r="R58" s="41"/>
      <c r="S58" s="59">
        <f t="shared" si="17"/>
        <v>615.29584808015989</v>
      </c>
      <c r="T58" s="41"/>
      <c r="U58" s="39">
        <f>'FY23'!S58</f>
        <v>603.23122360800005</v>
      </c>
      <c r="V58" s="39">
        <f t="shared" si="18"/>
        <v>-12.064624472159835</v>
      </c>
      <c r="W58" s="39"/>
    </row>
    <row r="59" spans="3:23" s="37" customFormat="1" ht="12" x14ac:dyDescent="0.2">
      <c r="C59" s="200">
        <v>6281</v>
      </c>
      <c r="D59" s="37" t="s">
        <v>193</v>
      </c>
      <c r="E59" s="39">
        <f>+'FY23'!E59*(1+MYP!$K$9)</f>
        <v>859.57848000000001</v>
      </c>
      <c r="F59" s="39">
        <f>+'FY23'!F59*(1+MYP!$K$9)</f>
        <v>859.57848000000001</v>
      </c>
      <c r="G59" s="39">
        <f>+'FY23'!G59*(1+MYP!$K$9)</f>
        <v>859.57848000000001</v>
      </c>
      <c r="H59" s="39">
        <f>+'FY23'!H59*(1+MYP!$K$9)</f>
        <v>859.57848000000001</v>
      </c>
      <c r="I59" s="39">
        <f>+'FY23'!I59*(1+MYP!$K$9)</f>
        <v>859.57848000000001</v>
      </c>
      <c r="J59" s="39">
        <f>+'FY23'!J59*(1+MYP!$K$9)</f>
        <v>859.57848000000001</v>
      </c>
      <c r="K59" s="39">
        <f>+'FY23'!K59*(1+MYP!$K$9)</f>
        <v>859.57848000000001</v>
      </c>
      <c r="L59" s="39">
        <f>+'FY23'!L59*(1+MYP!$K$9)</f>
        <v>859.57848000000001</v>
      </c>
      <c r="M59" s="39">
        <f>+'FY23'!M59*(1+MYP!$K$9)</f>
        <v>859.57848000000001</v>
      </c>
      <c r="N59" s="39">
        <f>+'FY23'!N59*(1+MYP!$K$9)</f>
        <v>859.57848000000001</v>
      </c>
      <c r="O59" s="39">
        <f>+'FY23'!O59*(1+MYP!$K$9)</f>
        <v>859.57848000000001</v>
      </c>
      <c r="P59" s="39">
        <f>+'FY23'!P59*(1+MYP!$K$9)</f>
        <v>859.57848000000001</v>
      </c>
      <c r="Q59" s="36"/>
      <c r="R59" s="41"/>
      <c r="S59" s="59">
        <f t="shared" si="17"/>
        <v>10314.94176</v>
      </c>
      <c r="T59" s="41"/>
      <c r="U59" s="39">
        <f>'FY23'!S59</f>
        <v>10112.688</v>
      </c>
      <c r="V59" s="39">
        <f t="shared" si="18"/>
        <v>-202.2537599999996</v>
      </c>
      <c r="W59" s="39"/>
    </row>
    <row r="60" spans="3:23" s="37" customFormat="1" ht="12" x14ac:dyDescent="0.2">
      <c r="C60" s="200">
        <v>6284</v>
      </c>
      <c r="D60" s="37" t="s">
        <v>194</v>
      </c>
      <c r="E60" s="39">
        <f>+'FY23'!E60*(1+MYP!$K$9)</f>
        <v>429.78924000000001</v>
      </c>
      <c r="F60" s="39">
        <f>+'FY23'!F60*(1+MYP!$K$9)</f>
        <v>429.78924000000001</v>
      </c>
      <c r="G60" s="39">
        <f>+'FY23'!G60*(1+MYP!$K$9)</f>
        <v>429.78924000000001</v>
      </c>
      <c r="H60" s="39">
        <f>+'FY23'!H60*(1+MYP!$K$9)</f>
        <v>429.78924000000001</v>
      </c>
      <c r="I60" s="39">
        <f>+'FY23'!I60*(1+MYP!$K$9)</f>
        <v>429.78924000000001</v>
      </c>
      <c r="J60" s="39">
        <f>+'FY23'!J60*(1+MYP!$K$9)</f>
        <v>429.78924000000001</v>
      </c>
      <c r="K60" s="39">
        <f>+'FY23'!K60*(1+MYP!$K$9)</f>
        <v>429.78924000000001</v>
      </c>
      <c r="L60" s="39">
        <f>+'FY23'!L60*(1+MYP!$K$9)</f>
        <v>429.78924000000001</v>
      </c>
      <c r="M60" s="39">
        <f>+'FY23'!M60*(1+MYP!$K$9)</f>
        <v>429.78924000000001</v>
      </c>
      <c r="N60" s="39">
        <f>+'FY23'!N60*(1+MYP!$K$9)</f>
        <v>429.78924000000001</v>
      </c>
      <c r="O60" s="39">
        <f>+'FY23'!O60*(1+MYP!$K$9)</f>
        <v>429.78924000000001</v>
      </c>
      <c r="P60" s="39">
        <f>+'FY23'!P60*(1+MYP!$K$9)</f>
        <v>429.78924000000001</v>
      </c>
      <c r="Q60" s="98"/>
      <c r="R60" s="41"/>
      <c r="S60" s="59">
        <f t="shared" si="17"/>
        <v>5157.4708799999999</v>
      </c>
      <c r="T60" s="41"/>
      <c r="U60" s="39">
        <f>'FY23'!S60</f>
        <v>5056.3440000000001</v>
      </c>
      <c r="V60" s="39">
        <f t="shared" si="18"/>
        <v>-101.1268799999998</v>
      </c>
      <c r="W60" s="39"/>
    </row>
    <row r="61" spans="3:23" s="37" customFormat="1" ht="12" x14ac:dyDescent="0.2">
      <c r="C61" s="200">
        <v>6287</v>
      </c>
      <c r="D61" s="37" t="s">
        <v>227</v>
      </c>
      <c r="E61" s="39">
        <f>+'FY23'!E61*(1+MYP!$K$9)</f>
        <v>429.78924000000001</v>
      </c>
      <c r="F61" s="39">
        <f>+'FY23'!F61*(1+MYP!$K$9)</f>
        <v>429.78924000000001</v>
      </c>
      <c r="G61" s="39">
        <f>+'FY23'!G61*(1+MYP!$K$9)</f>
        <v>429.78924000000001</v>
      </c>
      <c r="H61" s="39">
        <f>+'FY23'!H61*(1+MYP!$K$9)</f>
        <v>429.78924000000001</v>
      </c>
      <c r="I61" s="39">
        <f>+'FY23'!I61*(1+MYP!$K$9)</f>
        <v>429.78924000000001</v>
      </c>
      <c r="J61" s="39">
        <f>+'FY23'!J61*(1+MYP!$K$9)</f>
        <v>429.78924000000001</v>
      </c>
      <c r="K61" s="39">
        <f>+'FY23'!K61*(1+MYP!$K$9)</f>
        <v>429.78924000000001</v>
      </c>
      <c r="L61" s="39">
        <f>+'FY23'!L61*(1+MYP!$K$9)</f>
        <v>429.78924000000001</v>
      </c>
      <c r="M61" s="39">
        <f>+'FY23'!M61*(1+MYP!$K$9)</f>
        <v>429.78924000000001</v>
      </c>
      <c r="N61" s="39">
        <f>+'FY23'!N61*(1+MYP!$K$9)</f>
        <v>429.78924000000001</v>
      </c>
      <c r="O61" s="39">
        <f>+'FY23'!O61*(1+MYP!$K$9)</f>
        <v>429.78924000000001</v>
      </c>
      <c r="P61" s="39">
        <f>+'FY23'!P61*(1+MYP!$K$9)</f>
        <v>429.78924000000001</v>
      </c>
      <c r="Q61" s="98"/>
      <c r="R61" s="41"/>
      <c r="S61" s="59">
        <f t="shared" si="17"/>
        <v>5157.4708799999999</v>
      </c>
      <c r="T61" s="41"/>
      <c r="U61" s="39">
        <f>'FY23'!S61</f>
        <v>5056.3440000000001</v>
      </c>
      <c r="V61" s="39">
        <f t="shared" si="18"/>
        <v>-101.1268799999998</v>
      </c>
      <c r="W61" s="39"/>
    </row>
    <row r="62" spans="3:23" s="37" customFormat="1" ht="12" x14ac:dyDescent="0.2">
      <c r="C62" s="38"/>
      <c r="E62" s="50">
        <f t="shared" ref="E62:P62" si="19">SUBTOTAL(9,E43:E61)</f>
        <v>7508.7851815336053</v>
      </c>
      <c r="F62" s="50">
        <f t="shared" si="19"/>
        <v>7508.7851815336053</v>
      </c>
      <c r="G62" s="50">
        <f t="shared" si="19"/>
        <v>7557.702094897606</v>
      </c>
      <c r="H62" s="50">
        <f t="shared" si="19"/>
        <v>7554.178353733605</v>
      </c>
      <c r="I62" s="50">
        <f t="shared" si="19"/>
        <v>7533.8514450976054</v>
      </c>
      <c r="J62" s="50">
        <f t="shared" si="19"/>
        <v>7519.5564427336049</v>
      </c>
      <c r="K62" s="50">
        <f t="shared" si="19"/>
        <v>7533.8514450976054</v>
      </c>
      <c r="L62" s="50">
        <f t="shared" si="19"/>
        <v>7543.4070925336055</v>
      </c>
      <c r="M62" s="50">
        <f t="shared" si="19"/>
        <v>7557.702094897606</v>
      </c>
      <c r="N62" s="50">
        <f t="shared" si="19"/>
        <v>7523.0801838976058</v>
      </c>
      <c r="O62" s="50">
        <f t="shared" si="19"/>
        <v>7508.7851815336053</v>
      </c>
      <c r="P62" s="50">
        <f t="shared" si="19"/>
        <v>7543.4070925336055</v>
      </c>
      <c r="Q62" s="99"/>
      <c r="R62" s="41"/>
      <c r="S62" s="61">
        <f>SUBTOTAL(9,S43:S61)</f>
        <v>90393.09179002326</v>
      </c>
      <c r="T62" s="41"/>
      <c r="U62" s="50">
        <f>SUBTOTAL(9,U43:U61)</f>
        <v>88620.678225512995</v>
      </c>
      <c r="V62" s="50">
        <f>SUBTOTAL(9,V43:V61)</f>
        <v>-1772.4135645102619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200">
        <v>6300</v>
      </c>
      <c r="D64" s="37" t="s">
        <v>9</v>
      </c>
      <c r="E64" s="39">
        <v>4321.5</v>
      </c>
      <c r="F64" s="39">
        <f>+'FY23'!F64*(1+MYP!$K$10)</f>
        <v>204.28253999999998</v>
      </c>
      <c r="G64" s="39">
        <f>+'FY23'!G64*(1+MYP!$K$10)</f>
        <v>204.28253999999998</v>
      </c>
      <c r="H64" s="39">
        <f>+'FY23'!H64*(1+MYP!$K$10)</f>
        <v>204.28253999999998</v>
      </c>
      <c r="I64" s="39">
        <f>+'FY23'!I64*(1+MYP!$K$10)</f>
        <v>204.28253999999998</v>
      </c>
      <c r="J64" s="39">
        <f>+'FY23'!J64*(1+MYP!$K$10)</f>
        <v>204.28253999999998</v>
      </c>
      <c r="K64" s="39">
        <f>+'FY23'!K64*(1+MYP!$K$10)</f>
        <v>204.28253999999998</v>
      </c>
      <c r="L64" s="39">
        <f>+'FY23'!L64*(1+MYP!$K$10)</f>
        <v>204.28253999999998</v>
      </c>
      <c r="M64" s="39">
        <f>+'FY23'!M64*(1+MYP!$K$10)</f>
        <v>204.28253999999998</v>
      </c>
      <c r="N64" s="39">
        <f>+'FY23'!N64*(1+MYP!$K$10)</f>
        <v>204.28253999999998</v>
      </c>
      <c r="O64" s="39">
        <f>+'FY23'!O64*(1+MYP!$K$10)</f>
        <v>204.28253999999998</v>
      </c>
      <c r="P64" s="39">
        <f>+'FY23'!P64*(1+MYP!$K$10)</f>
        <v>204.28253999999998</v>
      </c>
      <c r="Q64" s="100"/>
      <c r="R64" s="41"/>
      <c r="S64" s="59">
        <f t="shared" ref="S64:S73" si="20">SUM(E64:Q64)</f>
        <v>6568.6079400000017</v>
      </c>
      <c r="T64" s="41"/>
      <c r="U64" s="39">
        <f>'FY23'!S64</f>
        <v>6524.5470000000005</v>
      </c>
      <c r="V64" s="39">
        <f t="shared" ref="V64:V73" si="21">U64-S64</f>
        <v>-44.06094000000121</v>
      </c>
      <c r="W64" s="39"/>
    </row>
    <row r="65" spans="3:23" s="37" customFormat="1" ht="12" x14ac:dyDescent="0.2">
      <c r="C65" s="200">
        <v>6320</v>
      </c>
      <c r="D65" s="37" t="s">
        <v>10</v>
      </c>
      <c r="E65" s="39">
        <f>+'FY23'!E65*(1+MYP!$K$10)</f>
        <v>221.08500000000001</v>
      </c>
      <c r="F65" s="39">
        <f>+'FY23'!F65*(1+MYP!$K$10)</f>
        <v>221.08500000000001</v>
      </c>
      <c r="G65" s="39">
        <f>+'FY23'!G65*(1+MYP!$K$10)</f>
        <v>221.08500000000001</v>
      </c>
      <c r="H65" s="39">
        <f>+'FY23'!H65*(1+MYP!$K$10)</f>
        <v>221.08500000000001</v>
      </c>
      <c r="I65" s="39">
        <f>+'FY23'!I65*(1+MYP!$K$10)</f>
        <v>221.08500000000001</v>
      </c>
      <c r="J65" s="39">
        <f>+'FY23'!J65*(1+MYP!$K$10)</f>
        <v>221.08500000000001</v>
      </c>
      <c r="K65" s="39">
        <f>+'FY23'!K65*(1+MYP!$K$10)</f>
        <v>221.08500000000001</v>
      </c>
      <c r="L65" s="39">
        <f>+'FY23'!L65*(1+MYP!$K$10)</f>
        <v>221.08500000000001</v>
      </c>
      <c r="M65" s="39">
        <f>+'FY23'!M65*(1+MYP!$K$10)</f>
        <v>221.08500000000001</v>
      </c>
      <c r="N65" s="39">
        <f>+'FY23'!N65*(1+MYP!$K$10)</f>
        <v>221.08500000000001</v>
      </c>
      <c r="O65" s="39">
        <f>+'FY23'!O65*(1+MYP!$K$10)</f>
        <v>221.08500000000001</v>
      </c>
      <c r="P65" s="39">
        <f>+'FY23'!P65*(1+MYP!$K$10)</f>
        <v>221.08500000000001</v>
      </c>
      <c r="Q65" s="100"/>
      <c r="R65" s="41"/>
      <c r="S65" s="59">
        <f t="shared" si="20"/>
        <v>2653.02</v>
      </c>
      <c r="T65" s="41"/>
      <c r="U65" s="39">
        <f>'FY23'!S65</f>
        <v>2601</v>
      </c>
      <c r="V65" s="39">
        <f t="shared" si="21"/>
        <v>-52.019999999999982</v>
      </c>
      <c r="W65" s="39"/>
    </row>
    <row r="66" spans="3:23" s="37" customFormat="1" ht="12" x14ac:dyDescent="0.2">
      <c r="C66" s="200">
        <v>6331</v>
      </c>
      <c r="D66" s="37" t="s">
        <v>11</v>
      </c>
      <c r="E66" s="39">
        <f>+'FY23'!E66*(1+MYP!$K$10)</f>
        <v>88.433999999999997</v>
      </c>
      <c r="F66" s="39">
        <f>+'FY23'!F66*(1+MYP!$K$10)</f>
        <v>88.433999999999997</v>
      </c>
      <c r="G66" s="39">
        <f>+'FY23'!G66*(1+MYP!$K$10)</f>
        <v>88.433999999999997</v>
      </c>
      <c r="H66" s="39">
        <f>+'FY23'!H66*(1+MYP!$K$10)</f>
        <v>88.433999999999997</v>
      </c>
      <c r="I66" s="39">
        <f>+'FY23'!I66*(1+MYP!$K$10)</f>
        <v>88.433999999999997</v>
      </c>
      <c r="J66" s="39">
        <f>+'FY23'!J66*(1+MYP!$K$10)</f>
        <v>88.433999999999997</v>
      </c>
      <c r="K66" s="39">
        <f>+'FY23'!K66*(1+MYP!$K$10)</f>
        <v>88.433999999999997</v>
      </c>
      <c r="L66" s="39">
        <f>+'FY23'!L66*(1+MYP!$K$10)</f>
        <v>88.433999999999997</v>
      </c>
      <c r="M66" s="39">
        <f>+'FY23'!M66*(1+MYP!$K$10)</f>
        <v>88.433999999999997</v>
      </c>
      <c r="N66" s="39">
        <f>+'FY23'!N66*(1+MYP!$K$10)</f>
        <v>88.433999999999997</v>
      </c>
      <c r="O66" s="39">
        <f>+'FY23'!O66*(1+MYP!$K$10)</f>
        <v>88.433999999999997</v>
      </c>
      <c r="P66" s="39">
        <f>+'FY23'!P66*(1+MYP!$K$10)</f>
        <v>88.433999999999997</v>
      </c>
      <c r="Q66" s="100"/>
      <c r="R66" s="41"/>
      <c r="S66" s="59">
        <f t="shared" si="20"/>
        <v>1061.2079999999999</v>
      </c>
      <c r="T66" s="41"/>
      <c r="U66" s="39">
        <f>'FY23'!S66</f>
        <v>1040.4000000000003</v>
      </c>
      <c r="V66" s="39">
        <f t="shared" si="21"/>
        <v>-20.807999999999538</v>
      </c>
      <c r="W66" s="39"/>
    </row>
    <row r="67" spans="3:23" s="37" customFormat="1" ht="12" x14ac:dyDescent="0.2">
      <c r="C67" s="200">
        <v>6334</v>
      </c>
      <c r="D67" s="37" t="s">
        <v>12</v>
      </c>
      <c r="E67" s="39">
        <f>+'FY23'!E67*(1+MYP!$K$10)</f>
        <v>66.325500000000005</v>
      </c>
      <c r="F67" s="39">
        <f>+'FY23'!F67*(1+MYP!$K$10)</f>
        <v>66.325500000000005</v>
      </c>
      <c r="G67" s="39">
        <f>+'FY23'!G67*(1+MYP!$K$10)</f>
        <v>66.325500000000005</v>
      </c>
      <c r="H67" s="39">
        <f>+'FY23'!H67*(1+MYP!$K$10)</f>
        <v>66.325500000000005</v>
      </c>
      <c r="I67" s="39">
        <f>+'FY23'!I67*(1+MYP!$K$10)</f>
        <v>66.325500000000005</v>
      </c>
      <c r="J67" s="39">
        <f>+'FY23'!J67*(1+MYP!$K$10)</f>
        <v>66.325500000000005</v>
      </c>
      <c r="K67" s="39">
        <f>+'FY23'!K67*(1+MYP!$K$10)</f>
        <v>66.325500000000005</v>
      </c>
      <c r="L67" s="39">
        <f>+'FY23'!L67*(1+MYP!$K$10)</f>
        <v>66.325500000000005</v>
      </c>
      <c r="M67" s="39">
        <f>+'FY23'!M67*(1+MYP!$K$10)</f>
        <v>66.325500000000005</v>
      </c>
      <c r="N67" s="39">
        <f>+'FY23'!N67*(1+MYP!$K$10)</f>
        <v>66.325500000000005</v>
      </c>
      <c r="O67" s="39">
        <f>+'FY23'!O67*(1+MYP!$K$10)</f>
        <v>66.325500000000005</v>
      </c>
      <c r="P67" s="39">
        <f>+'FY23'!P67*(1+MYP!$K$10)</f>
        <v>66.325500000000005</v>
      </c>
      <c r="Q67" s="100"/>
      <c r="R67" s="41"/>
      <c r="S67" s="59">
        <f t="shared" si="20"/>
        <v>795.90600000000029</v>
      </c>
      <c r="T67" s="41"/>
      <c r="U67" s="39">
        <f>'FY23'!S67</f>
        <v>780.29999999999984</v>
      </c>
      <c r="V67" s="39">
        <f t="shared" si="21"/>
        <v>-15.606000000000449</v>
      </c>
      <c r="W67" s="39"/>
    </row>
    <row r="68" spans="3:23" s="37" customFormat="1" ht="12" x14ac:dyDescent="0.2">
      <c r="C68" s="200">
        <v>6336</v>
      </c>
      <c r="D68" s="37" t="s">
        <v>13</v>
      </c>
      <c r="E68" s="39">
        <f>+'FY23'!E68*(1+MYP!$K$10)</f>
        <v>0</v>
      </c>
      <c r="F68" s="39">
        <f>+'FY23'!F68*(1+MYP!$K$10)</f>
        <v>0</v>
      </c>
      <c r="G68" s="39">
        <f>+'FY23'!G68*(1+MYP!$K$10)</f>
        <v>0</v>
      </c>
      <c r="H68" s="39">
        <f>+'FY23'!H68*(1+MYP!$K$10)</f>
        <v>0</v>
      </c>
      <c r="I68" s="39">
        <f>+'FY23'!I68*(1+MYP!$K$10)</f>
        <v>0</v>
      </c>
      <c r="J68" s="39">
        <f>+'FY23'!J68*(1+MYP!$K$10)</f>
        <v>0</v>
      </c>
      <c r="K68" s="39">
        <f>+'FY23'!K68*(1+MYP!$K$10)</f>
        <v>0</v>
      </c>
      <c r="L68" s="39">
        <f>+'FY23'!L68*(1+MYP!$K$10)</f>
        <v>0</v>
      </c>
      <c r="M68" s="39">
        <f>+'FY23'!M68*(1+MYP!$K$10)</f>
        <v>0</v>
      </c>
      <c r="N68" s="39">
        <f>+'FY23'!N68*(1+MYP!$K$10)</f>
        <v>0</v>
      </c>
      <c r="O68" s="39">
        <f>+'FY23'!O68*(1+MYP!$K$10)</f>
        <v>0</v>
      </c>
      <c r="P68" s="39">
        <f>+'FY23'!P68*(1+MYP!$K$10)</f>
        <v>0</v>
      </c>
      <c r="Q68" s="100"/>
      <c r="R68" s="41"/>
      <c r="S68" s="59">
        <f t="shared" si="20"/>
        <v>0</v>
      </c>
      <c r="T68" s="41"/>
      <c r="U68" s="39">
        <f>'FY23'!S68</f>
        <v>0</v>
      </c>
      <c r="V68" s="39">
        <f t="shared" si="21"/>
        <v>0</v>
      </c>
      <c r="W68" s="39"/>
    </row>
    <row r="69" spans="3:23" s="37" customFormat="1" ht="12" x14ac:dyDescent="0.2">
      <c r="C69" s="200">
        <v>6337</v>
      </c>
      <c r="D69" s="37" t="s">
        <v>14</v>
      </c>
      <c r="E69" s="39">
        <f>+'FY23'!E69*(1+MYP!$K$10)</f>
        <v>44.216999999999999</v>
      </c>
      <c r="F69" s="39">
        <f>+'FY23'!F69*(1+MYP!$K$10)</f>
        <v>44.216999999999999</v>
      </c>
      <c r="G69" s="39">
        <f>+'FY23'!G69*(1+MYP!$K$10)</f>
        <v>44.216999999999999</v>
      </c>
      <c r="H69" s="39">
        <f>+'FY23'!H69*(1+MYP!$K$10)</f>
        <v>44.216999999999999</v>
      </c>
      <c r="I69" s="39">
        <f>+'FY23'!I69*(1+MYP!$K$10)</f>
        <v>44.216999999999999</v>
      </c>
      <c r="J69" s="39">
        <f>+'FY23'!J69*(1+MYP!$K$10)</f>
        <v>44.216999999999999</v>
      </c>
      <c r="K69" s="39">
        <f>+'FY23'!K69*(1+MYP!$K$10)</f>
        <v>44.216999999999999</v>
      </c>
      <c r="L69" s="39">
        <f>+'FY23'!L69*(1+MYP!$K$10)</f>
        <v>44.216999999999999</v>
      </c>
      <c r="M69" s="39">
        <f>+'FY23'!M69*(1+MYP!$K$10)</f>
        <v>44.216999999999999</v>
      </c>
      <c r="N69" s="39">
        <f>+'FY23'!N69*(1+MYP!$K$10)</f>
        <v>44.216999999999999</v>
      </c>
      <c r="O69" s="39">
        <f>+'FY23'!O69*(1+MYP!$K$10)</f>
        <v>44.216999999999999</v>
      </c>
      <c r="P69" s="39">
        <f>+'FY23'!P69*(1+MYP!$K$10)</f>
        <v>44.216999999999999</v>
      </c>
      <c r="Q69" s="100"/>
      <c r="R69" s="41"/>
      <c r="S69" s="59">
        <f t="shared" si="20"/>
        <v>530.60399999999993</v>
      </c>
      <c r="T69" s="41"/>
      <c r="U69" s="39">
        <f>'FY23'!S69</f>
        <v>520.20000000000016</v>
      </c>
      <c r="V69" s="39">
        <f t="shared" si="21"/>
        <v>-10.403999999999769</v>
      </c>
      <c r="W69" s="39"/>
    </row>
    <row r="70" spans="3:23" s="37" customFormat="1" ht="12" x14ac:dyDescent="0.2">
      <c r="C70" s="200">
        <v>6340</v>
      </c>
      <c r="D70" s="37" t="s">
        <v>15</v>
      </c>
      <c r="E70" s="39">
        <f>+'FY23'!E70*(1+MYP!$K$10)</f>
        <v>2578.7354399999999</v>
      </c>
      <c r="F70" s="39">
        <f>+'FY23'!F70*(1+MYP!$K$10)</f>
        <v>2578.7354399999999</v>
      </c>
      <c r="G70" s="39">
        <f>+'FY23'!G70*(1+MYP!$K$10)</f>
        <v>2578.7354399999999</v>
      </c>
      <c r="H70" s="39">
        <f>+'FY23'!H70*(1+MYP!$K$10)</f>
        <v>2578.7354399999999</v>
      </c>
      <c r="I70" s="39">
        <f>+'FY23'!I70*(1+MYP!$K$10)</f>
        <v>2578.7354399999999</v>
      </c>
      <c r="J70" s="39">
        <f>+'FY23'!J70*(1+MYP!$K$10)</f>
        <v>2578.7354399999999</v>
      </c>
      <c r="K70" s="39">
        <f>+'FY23'!K70*(1+MYP!$K$10)</f>
        <v>2578.7354399999999</v>
      </c>
      <c r="L70" s="39">
        <f>+'FY23'!L70*(1+MYP!$K$10)</f>
        <v>2578.7354399999999</v>
      </c>
      <c r="M70" s="39">
        <f>+'FY23'!M70*(1+MYP!$K$10)</f>
        <v>2578.7354399999999</v>
      </c>
      <c r="N70" s="39">
        <f>+'FY23'!N70*(1+MYP!$K$10)</f>
        <v>2578.7354399999999</v>
      </c>
      <c r="O70" s="39">
        <f>+'FY23'!O70*(1+MYP!$K$10)</f>
        <v>2578.7354399999999</v>
      </c>
      <c r="P70" s="39">
        <f>+'FY23'!P70*(1+MYP!$K$10)</f>
        <v>2578.7354399999999</v>
      </c>
      <c r="Q70" s="100"/>
      <c r="R70" s="41"/>
      <c r="S70" s="59">
        <f t="shared" si="20"/>
        <v>30944.825280000001</v>
      </c>
      <c r="T70" s="41"/>
      <c r="U70" s="39">
        <f>'FY23'!S70</f>
        <v>30338.063999999995</v>
      </c>
      <c r="V70" s="39">
        <f t="shared" si="21"/>
        <v>-606.76128000000608</v>
      </c>
      <c r="W70" s="39"/>
    </row>
    <row r="71" spans="3:23" s="37" customFormat="1" ht="12" x14ac:dyDescent="0.2">
      <c r="C71" s="200">
        <v>6345</v>
      </c>
      <c r="D71" s="37" t="s">
        <v>16</v>
      </c>
      <c r="E71" s="39">
        <f>+'FY23'!E71*(1+MYP!$K$10)</f>
        <v>0</v>
      </c>
      <c r="F71" s="39">
        <f>+'FY23'!F71*(1+MYP!$K$10)</f>
        <v>0</v>
      </c>
      <c r="G71" s="39">
        <f>+'FY23'!G71*(1+MYP!$K$10)</f>
        <v>0</v>
      </c>
      <c r="H71" s="39">
        <f>+'FY23'!H71*(1+MYP!$K$10)</f>
        <v>0</v>
      </c>
      <c r="I71" s="39">
        <f>+'FY23'!I71*(1+MYP!$K$10)</f>
        <v>0</v>
      </c>
      <c r="J71" s="39">
        <f>+'FY23'!J71*(1+MYP!$K$10)</f>
        <v>0</v>
      </c>
      <c r="K71" s="39">
        <f>+'FY23'!K71*(1+MYP!$K$10)</f>
        <v>0</v>
      </c>
      <c r="L71" s="39">
        <f>+'FY23'!L71*(1+MYP!$K$10)</f>
        <v>0</v>
      </c>
      <c r="M71" s="39">
        <f>+'FY23'!M71*(1+MYP!$K$10)</f>
        <v>0</v>
      </c>
      <c r="N71" s="39">
        <f>+'FY23'!N71*(1+MYP!$K$10)</f>
        <v>0</v>
      </c>
      <c r="O71" s="39">
        <f>+'FY23'!O71*(1+MYP!$K$10)</f>
        <v>0</v>
      </c>
      <c r="P71" s="39">
        <f>+'FY23'!P71*(1+MYP!$K$10)</f>
        <v>0</v>
      </c>
      <c r="Q71" s="100"/>
      <c r="R71" s="41"/>
      <c r="S71" s="59">
        <f t="shared" si="20"/>
        <v>0</v>
      </c>
      <c r="T71" s="41"/>
      <c r="U71" s="39">
        <f>'FY23'!S71</f>
        <v>0</v>
      </c>
      <c r="V71" s="39">
        <f t="shared" si="21"/>
        <v>0</v>
      </c>
      <c r="W71" s="39"/>
    </row>
    <row r="72" spans="3:23" s="37" customFormat="1" ht="12" x14ac:dyDescent="0.2">
      <c r="C72" s="200">
        <v>6350</v>
      </c>
      <c r="D72" s="37" t="s">
        <v>17</v>
      </c>
      <c r="E72" s="39">
        <f>+'FY23'!E72*(1+MYP!$K$10)</f>
        <v>176.86799999999999</v>
      </c>
      <c r="F72" s="39">
        <f>+'FY23'!F72*(1+MYP!$K$10)</f>
        <v>176.86799999999999</v>
      </c>
      <c r="G72" s="39">
        <f>+'FY23'!G72*(1+MYP!$K$10)</f>
        <v>176.86799999999999</v>
      </c>
      <c r="H72" s="39">
        <f>+'FY23'!H72*(1+MYP!$K$10)</f>
        <v>176.86799999999999</v>
      </c>
      <c r="I72" s="39">
        <f>+'FY23'!I72*(1+MYP!$K$10)</f>
        <v>176.86799999999999</v>
      </c>
      <c r="J72" s="39">
        <f>+'FY23'!J72*(1+MYP!$K$10)</f>
        <v>176.86799999999999</v>
      </c>
      <c r="K72" s="39">
        <f>+'FY23'!K72*(1+MYP!$K$10)</f>
        <v>176.86799999999999</v>
      </c>
      <c r="L72" s="39">
        <f>+'FY23'!L72*(1+MYP!$K$10)</f>
        <v>176.86799999999999</v>
      </c>
      <c r="M72" s="39">
        <f>+'FY23'!M72*(1+MYP!$K$10)</f>
        <v>176.86799999999999</v>
      </c>
      <c r="N72" s="39">
        <f>+'FY23'!N72*(1+MYP!$K$10)</f>
        <v>176.86799999999999</v>
      </c>
      <c r="O72" s="39">
        <f>+'FY23'!O72*(1+MYP!$K$10)</f>
        <v>176.86799999999999</v>
      </c>
      <c r="P72" s="39">
        <f>+'FY23'!P72*(1+MYP!$K$10)</f>
        <v>176.86799999999999</v>
      </c>
      <c r="Q72" s="100"/>
      <c r="R72" s="41"/>
      <c r="S72" s="59">
        <f t="shared" si="20"/>
        <v>2122.4159999999997</v>
      </c>
      <c r="T72" s="41"/>
      <c r="U72" s="39">
        <f>'FY23'!S72</f>
        <v>2080.8000000000006</v>
      </c>
      <c r="V72" s="39">
        <f t="shared" si="21"/>
        <v>-41.615999999999076</v>
      </c>
      <c r="W72" s="39"/>
    </row>
    <row r="73" spans="3:23" s="37" customFormat="1" ht="12" x14ac:dyDescent="0.2">
      <c r="C73" s="200">
        <v>6351</v>
      </c>
      <c r="D73" s="37" t="s">
        <v>18</v>
      </c>
      <c r="E73" s="39">
        <f>+'FY23'!E73*(1+MYP!$K$10)</f>
        <v>0</v>
      </c>
      <c r="F73" s="39">
        <f>+'FY23'!F73*(1+MYP!$K$10)</f>
        <v>0</v>
      </c>
      <c r="G73" s="39">
        <f>+'FY23'!G73*(1+MYP!$K$10)</f>
        <v>0</v>
      </c>
      <c r="H73" s="39">
        <f>+'FY23'!H73*(1+MYP!$K$10)</f>
        <v>0</v>
      </c>
      <c r="I73" s="39">
        <f>+'FY23'!I73*(1+MYP!$K$10)</f>
        <v>0</v>
      </c>
      <c r="J73" s="39">
        <f>+'FY23'!J73*(1+MYP!$K$10)</f>
        <v>0</v>
      </c>
      <c r="K73" s="39">
        <f>+'FY23'!K73*(1+MYP!$K$10)</f>
        <v>0</v>
      </c>
      <c r="L73" s="39">
        <f>+'FY23'!L73*(1+MYP!$K$10)</f>
        <v>0</v>
      </c>
      <c r="M73" s="39">
        <f>+'FY23'!M73*(1+MYP!$K$10)</f>
        <v>0</v>
      </c>
      <c r="N73" s="39">
        <f>+'FY23'!N73*(1+MYP!$K$10)</f>
        <v>0</v>
      </c>
      <c r="O73" s="39">
        <f>+'FY23'!O73*(1+MYP!$K$10)</f>
        <v>0</v>
      </c>
      <c r="P73" s="39">
        <f>+'FY23'!P73*(1+MYP!$K$10)</f>
        <v>0</v>
      </c>
      <c r="Q73" s="100"/>
      <c r="R73" s="41"/>
      <c r="S73" s="59">
        <f t="shared" si="20"/>
        <v>0</v>
      </c>
      <c r="T73" s="41"/>
      <c r="U73" s="39">
        <f>'FY23'!S73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7497.1649400000006</v>
      </c>
      <c r="F74" s="50">
        <f t="shared" ref="F74:V74" si="22">SUBTOTAL(9,F64:F73)</f>
        <v>3379.9474799999998</v>
      </c>
      <c r="G74" s="50">
        <f t="shared" si="22"/>
        <v>3379.9474799999998</v>
      </c>
      <c r="H74" s="50">
        <f t="shared" si="22"/>
        <v>3379.9474799999998</v>
      </c>
      <c r="I74" s="50">
        <f t="shared" si="22"/>
        <v>3379.9474799999998</v>
      </c>
      <c r="J74" s="50">
        <f t="shared" si="22"/>
        <v>3379.9474799999998</v>
      </c>
      <c r="K74" s="50">
        <f t="shared" si="22"/>
        <v>3379.9474799999998</v>
      </c>
      <c r="L74" s="50">
        <f t="shared" si="22"/>
        <v>3379.9474799999998</v>
      </c>
      <c r="M74" s="50">
        <f t="shared" si="22"/>
        <v>3379.9474799999998</v>
      </c>
      <c r="N74" s="50">
        <f t="shared" si="22"/>
        <v>3379.9474799999998</v>
      </c>
      <c r="O74" s="50">
        <f t="shared" si="22"/>
        <v>3379.9474799999998</v>
      </c>
      <c r="P74" s="50">
        <f t="shared" si="22"/>
        <v>3379.9474799999998</v>
      </c>
      <c r="Q74" s="99"/>
      <c r="R74" s="41"/>
      <c r="S74" s="61">
        <f t="shared" si="22"/>
        <v>44676.587220000001</v>
      </c>
      <c r="T74" s="41"/>
      <c r="U74" s="50">
        <f t="shared" si="22"/>
        <v>43885.311000000002</v>
      </c>
      <c r="V74" s="50">
        <f t="shared" si="22"/>
        <v>-791.27622000000611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200">
        <v>6410</v>
      </c>
      <c r="D76" s="37" t="s">
        <v>19</v>
      </c>
      <c r="E76" s="39">
        <f>+'FY23'!E76*(1+MYP!$K$10)</f>
        <v>212.24160000000001</v>
      </c>
      <c r="F76" s="39">
        <f>+'FY23'!F76*(1+MYP!$K$10)</f>
        <v>212.24160000000001</v>
      </c>
      <c r="G76" s="39">
        <f>+'FY23'!G76*(1+MYP!$K$10)</f>
        <v>212.24160000000001</v>
      </c>
      <c r="H76" s="39">
        <f>+'FY23'!H76*(1+MYP!$K$10)</f>
        <v>212.24160000000001</v>
      </c>
      <c r="I76" s="39">
        <f>+'FY23'!I76*(1+MYP!$K$10)</f>
        <v>212.24160000000001</v>
      </c>
      <c r="J76" s="39">
        <f>+'FY23'!J76*(1+MYP!$K$10)</f>
        <v>212.24160000000001</v>
      </c>
      <c r="K76" s="39">
        <f>+'FY23'!K76*(1+MYP!$K$10)</f>
        <v>212.24160000000001</v>
      </c>
      <c r="L76" s="39">
        <f>+'FY23'!L76*(1+MYP!$K$10)</f>
        <v>212.24160000000001</v>
      </c>
      <c r="M76" s="39">
        <f>+'FY23'!M76*(1+MYP!$K$10)</f>
        <v>212.24160000000001</v>
      </c>
      <c r="N76" s="39">
        <f>+'FY23'!N76*(1+MYP!$K$10)</f>
        <v>212.24160000000001</v>
      </c>
      <c r="O76" s="39">
        <f>+'FY23'!O76*(1+MYP!$K$10)</f>
        <v>212.24160000000001</v>
      </c>
      <c r="P76" s="39">
        <f>+'FY23'!P76*(1+MYP!$K$10)</f>
        <v>212.24160000000001</v>
      </c>
      <c r="Q76" s="100"/>
      <c r="R76" s="41"/>
      <c r="S76" s="59">
        <f t="shared" ref="S76:S79" si="23">SUM(E76:Q76)</f>
        <v>2546.8991999999998</v>
      </c>
      <c r="T76" s="41"/>
      <c r="U76" s="39">
        <f>'FY23'!S76</f>
        <v>2496.9599999999996</v>
      </c>
      <c r="V76" s="39">
        <f t="shared" ref="V76:V79" si="24">U76-S76</f>
        <v>-49.939200000000255</v>
      </c>
      <c r="W76" s="39"/>
    </row>
    <row r="77" spans="3:23" s="37" customFormat="1" ht="12" x14ac:dyDescent="0.2">
      <c r="C77" s="200">
        <v>6420</v>
      </c>
      <c r="D77" s="37" t="s">
        <v>20</v>
      </c>
      <c r="E77" s="39">
        <f>+'FY23'!E77*(1+MYP!$K$10)</f>
        <v>857.8098</v>
      </c>
      <c r="F77" s="39">
        <f>+'FY23'!F77*(1+MYP!$K$10)</f>
        <v>857.8098</v>
      </c>
      <c r="G77" s="39">
        <f>+'FY23'!G77*(1+MYP!$K$10)</f>
        <v>1759.8365999999999</v>
      </c>
      <c r="H77" s="39">
        <f>+'FY23'!H77*(1+MYP!$K$10)</f>
        <v>857.8098</v>
      </c>
      <c r="I77" s="39">
        <f>+'FY23'!I77*(1+MYP!$K$10)</f>
        <v>857.8098</v>
      </c>
      <c r="J77" s="39">
        <f>+'FY23'!J77*(1+MYP!$K$10)</f>
        <v>1123.1117999999999</v>
      </c>
      <c r="K77" s="39">
        <f>+'FY23'!K77*(1+MYP!$K$10)</f>
        <v>857.8098</v>
      </c>
      <c r="L77" s="39">
        <f>+'FY23'!L77*(1+MYP!$K$10)</f>
        <v>857.8098</v>
      </c>
      <c r="M77" s="39">
        <f>+'FY23'!M77*(1+MYP!$K$10)</f>
        <v>1123.1117999999999</v>
      </c>
      <c r="N77" s="39">
        <f>+'FY23'!N77*(1+MYP!$K$10)</f>
        <v>857.8098</v>
      </c>
      <c r="O77" s="39">
        <f>+'FY23'!O77*(1+MYP!$K$10)</f>
        <v>857.8098</v>
      </c>
      <c r="P77" s="39">
        <f>+'FY23'!P77*(1+MYP!$K$10)</f>
        <v>1123.1117999999999</v>
      </c>
      <c r="Q77" s="100"/>
      <c r="R77" s="41"/>
      <c r="S77" s="59">
        <f t="shared" si="23"/>
        <v>11991.6504</v>
      </c>
      <c r="T77" s="41"/>
      <c r="U77" s="39">
        <f>'FY23'!S77</f>
        <v>11756.519999999999</v>
      </c>
      <c r="V77" s="39">
        <f t="shared" si="24"/>
        <v>-235.13040000000183</v>
      </c>
      <c r="W77" s="39"/>
    </row>
    <row r="78" spans="3:23" s="37" customFormat="1" ht="12" x14ac:dyDescent="0.2">
      <c r="C78" s="200">
        <v>6430</v>
      </c>
      <c r="D78" s="37" t="s">
        <v>21</v>
      </c>
      <c r="E78" s="39">
        <f>+'FY23'!E78*(1+MYP!$K$10)</f>
        <v>56424.429360000002</v>
      </c>
      <c r="F78" s="39">
        <f>+'FY23'!F78*(1+MYP!$K$10)</f>
        <v>53.060400000000001</v>
      </c>
      <c r="G78" s="39">
        <f>+'FY23'!G78*(1+MYP!$K$10)</f>
        <v>530.60400000000004</v>
      </c>
      <c r="H78" s="39">
        <f>+'FY23'!H78*(1+MYP!$K$10)</f>
        <v>965.69928000000004</v>
      </c>
      <c r="I78" s="39">
        <f>+'FY23'!I78*(1+MYP!$K$10)</f>
        <v>53.060400000000001</v>
      </c>
      <c r="J78" s="39">
        <f>+'FY23'!J78*(1+MYP!$K$10)</f>
        <v>530.60400000000004</v>
      </c>
      <c r="K78" s="39">
        <f>+'FY23'!K78*(1+MYP!$K$10)</f>
        <v>53.060400000000001</v>
      </c>
      <c r="L78" s="39">
        <f>+'FY23'!L78*(1+MYP!$K$10)</f>
        <v>53.060400000000001</v>
      </c>
      <c r="M78" s="39">
        <f>+'FY23'!M78*(1+MYP!$K$10)</f>
        <v>530.60400000000004</v>
      </c>
      <c r="N78" s="39">
        <f>+'FY23'!N78*(1+MYP!$K$10)</f>
        <v>53.060400000000001</v>
      </c>
      <c r="O78" s="39">
        <f>+'FY23'!O78*(1+MYP!$K$10)</f>
        <v>1034.6777999999999</v>
      </c>
      <c r="P78" s="39">
        <f>+'FY23'!P78*(1+MYP!$K$10)</f>
        <v>530.60400000000004</v>
      </c>
      <c r="Q78" s="100"/>
      <c r="R78" s="41"/>
      <c r="S78" s="59">
        <f t="shared" si="23"/>
        <v>60812.524440000008</v>
      </c>
      <c r="T78" s="41"/>
      <c r="U78" s="39">
        <f>'FY23'!S78</f>
        <v>59620.121999999974</v>
      </c>
      <c r="V78" s="39">
        <f t="shared" si="24"/>
        <v>-1192.4024400000344</v>
      </c>
      <c r="W78" s="39"/>
    </row>
    <row r="79" spans="3:23" s="37" customFormat="1" ht="12" x14ac:dyDescent="0.2">
      <c r="C79" s="200">
        <v>6441</v>
      </c>
      <c r="D79" s="37" t="s">
        <v>22</v>
      </c>
      <c r="E79" s="39">
        <f>+'FY23'!E79*(1+MYP!$K$10)</f>
        <v>9660.2719327200011</v>
      </c>
      <c r="F79" s="39">
        <f>+'FY23'!F79*(1+MYP!$K$10)</f>
        <v>9660.2719327200011</v>
      </c>
      <c r="G79" s="39">
        <f>+'FY23'!G79*(1+MYP!$K$10)</f>
        <v>9660.2719327200011</v>
      </c>
      <c r="H79" s="39">
        <f>+'FY23'!H79*(1+MYP!$K$10)</f>
        <v>9660.2719327200011</v>
      </c>
      <c r="I79" s="39">
        <f>+'FY23'!I79*(1+MYP!$K$10)</f>
        <v>9660.2719327200011</v>
      </c>
      <c r="J79" s="39">
        <f>+'FY23'!J79*(1+MYP!$K$10)</f>
        <v>9660.2719327200011</v>
      </c>
      <c r="K79" s="39">
        <f>+'FY23'!K79*(1+MYP!$K$10)</f>
        <v>11782.68793272</v>
      </c>
      <c r="L79" s="39">
        <f>+'FY23'!L79*(1+MYP!$K$10)</f>
        <v>9660.2719327200011</v>
      </c>
      <c r="M79" s="39">
        <f>+'FY23'!M79*(1+MYP!$K$10)</f>
        <v>9660.2719327200011</v>
      </c>
      <c r="N79" s="39">
        <f>+'FY23'!N79*(1+MYP!$K$10)</f>
        <v>9660.2719327200011</v>
      </c>
      <c r="O79" s="39">
        <f>+'FY23'!O79*(1+MYP!$K$10)</f>
        <v>11007.857523600003</v>
      </c>
      <c r="P79" s="39">
        <f>+'FY23'!P79*(1+MYP!$K$10)</f>
        <v>11007.857523600003</v>
      </c>
      <c r="Q79" s="100"/>
      <c r="R79" s="41"/>
      <c r="S79" s="59">
        <f t="shared" si="23"/>
        <v>120740.85037440003</v>
      </c>
      <c r="T79" s="41"/>
      <c r="U79" s="39">
        <f>'FY23'!S79</f>
        <v>118373.38271999999</v>
      </c>
      <c r="V79" s="39">
        <f t="shared" si="24"/>
        <v>-2367.4676544000395</v>
      </c>
      <c r="W79" s="39"/>
    </row>
    <row r="80" spans="3:23" s="37" customFormat="1" ht="12" x14ac:dyDescent="0.2">
      <c r="C80" s="38"/>
      <c r="E80" s="50">
        <f>SUBTOTAL(9,E76:E79)</f>
        <v>67154.752692719994</v>
      </c>
      <c r="F80" s="50">
        <f t="shared" ref="F80:V80" si="25">SUBTOTAL(9,F76:F79)</f>
        <v>10783.383732720002</v>
      </c>
      <c r="G80" s="50">
        <f t="shared" si="25"/>
        <v>12162.954132720002</v>
      </c>
      <c r="H80" s="50">
        <f t="shared" si="25"/>
        <v>11696.02261272</v>
      </c>
      <c r="I80" s="50">
        <f t="shared" si="25"/>
        <v>10783.383732720002</v>
      </c>
      <c r="J80" s="50">
        <f t="shared" si="25"/>
        <v>11526.22933272</v>
      </c>
      <c r="K80" s="50">
        <f t="shared" si="25"/>
        <v>12905.799732720001</v>
      </c>
      <c r="L80" s="50">
        <f t="shared" si="25"/>
        <v>10783.383732720002</v>
      </c>
      <c r="M80" s="50">
        <f t="shared" si="25"/>
        <v>11526.22933272</v>
      </c>
      <c r="N80" s="50">
        <f t="shared" si="25"/>
        <v>10783.383732720002</v>
      </c>
      <c r="O80" s="50">
        <f t="shared" si="25"/>
        <v>13112.586723600003</v>
      </c>
      <c r="P80" s="50">
        <f t="shared" si="25"/>
        <v>12873.814923600003</v>
      </c>
      <c r="Q80" s="99"/>
      <c r="R80" s="41"/>
      <c r="S80" s="61">
        <f t="shared" si="25"/>
        <v>196091.92441440004</v>
      </c>
      <c r="T80" s="41"/>
      <c r="U80" s="50">
        <f t="shared" si="25"/>
        <v>192246.98471999995</v>
      </c>
      <c r="V80" s="50">
        <f t="shared" si="25"/>
        <v>-3844.939694400076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200">
        <v>6519</v>
      </c>
      <c r="D82" s="37" t="s">
        <v>234</v>
      </c>
      <c r="E82" s="39">
        <f>+'FY23'!E82*(1+MYP!$K$10)</f>
        <v>35.373600000000003</v>
      </c>
      <c r="F82" s="39">
        <f>+'FY23'!F82*(1+MYP!$K$10)</f>
        <v>35.373600000000003</v>
      </c>
      <c r="G82" s="39">
        <f>+'FY23'!G82*(1+MYP!$K$10)</f>
        <v>35.373600000000003</v>
      </c>
      <c r="H82" s="39">
        <f>+'FY23'!H82*(1+MYP!$K$10)</f>
        <v>35.373600000000003</v>
      </c>
      <c r="I82" s="39">
        <f>+'FY23'!I82*(1+MYP!$K$10)</f>
        <v>35.373600000000003</v>
      </c>
      <c r="J82" s="39">
        <f>+'FY23'!J82*(1+MYP!$K$10)</f>
        <v>35.373600000000003</v>
      </c>
      <c r="K82" s="39">
        <f>+'FY23'!K82*(1+MYP!$K$10)</f>
        <v>35.373600000000003</v>
      </c>
      <c r="L82" s="39">
        <f>+'FY23'!L82*(1+MYP!$K$10)</f>
        <v>35.373600000000003</v>
      </c>
      <c r="M82" s="39">
        <f>+'FY23'!M82*(1+MYP!$K$10)</f>
        <v>35.373600000000003</v>
      </c>
      <c r="N82" s="39">
        <f>+'FY23'!N82*(1+MYP!$K$10)</f>
        <v>35.373600000000003</v>
      </c>
      <c r="O82" s="39">
        <f>+'FY23'!O82*(1+MYP!$K$10)</f>
        <v>35.373600000000003</v>
      </c>
      <c r="P82" s="39">
        <f>+'FY23'!P82*(1+MYP!$K$10)</f>
        <v>35.373600000000003</v>
      </c>
      <c r="Q82" s="100"/>
      <c r="R82" s="41"/>
      <c r="S82" s="59">
        <f t="shared" ref="S82:S93" si="26">SUM(E82:Q82)</f>
        <v>424.48320000000007</v>
      </c>
      <c r="T82" s="41"/>
      <c r="U82" s="39">
        <f>'FY23'!S82</f>
        <v>416.16</v>
      </c>
      <c r="V82" s="39">
        <f t="shared" ref="V82:V93" si="27">U82-S82</f>
        <v>-8.3232000000000426</v>
      </c>
      <c r="W82" s="39"/>
    </row>
    <row r="83" spans="3:23" s="37" customFormat="1" ht="12" x14ac:dyDescent="0.2">
      <c r="C83" s="200">
        <v>6521</v>
      </c>
      <c r="D83" s="37" t="s">
        <v>24</v>
      </c>
      <c r="E83" s="39">
        <f>+'FY23'!E83*(1+MYP!$K$10)</f>
        <v>0</v>
      </c>
      <c r="F83" s="39">
        <f>+'FY23'!F83*(1+MYP!$K$10)</f>
        <v>4032.5904</v>
      </c>
      <c r="G83" s="39">
        <f>+'FY23'!G83*(1+MYP!$K$10)</f>
        <v>0</v>
      </c>
      <c r="H83" s="39">
        <f>+'FY23'!H83*(1+MYP!$K$10)</f>
        <v>0</v>
      </c>
      <c r="I83" s="39">
        <f>+'FY23'!I83*(1+MYP!$K$10)</f>
        <v>0</v>
      </c>
      <c r="J83" s="39">
        <f>+'FY23'!J83*(1+MYP!$K$10)</f>
        <v>0</v>
      </c>
      <c r="K83" s="39">
        <f>+'FY23'!K83*(1+MYP!$K$10)</f>
        <v>0</v>
      </c>
      <c r="L83" s="39">
        <f>+'FY23'!L83*(1+MYP!$K$10)</f>
        <v>0</v>
      </c>
      <c r="M83" s="39">
        <f>+'FY23'!M83*(1+MYP!$K$10)</f>
        <v>0</v>
      </c>
      <c r="N83" s="39">
        <f>+'FY23'!N83*(1+MYP!$K$10)</f>
        <v>0</v>
      </c>
      <c r="O83" s="39">
        <f>+'FY23'!O83*(1+MYP!$K$10)</f>
        <v>0</v>
      </c>
      <c r="P83" s="39">
        <f>+'FY23'!P83*(1+MYP!$K$10)</f>
        <v>0</v>
      </c>
      <c r="Q83" s="100"/>
      <c r="R83" s="41"/>
      <c r="S83" s="59">
        <f t="shared" si="26"/>
        <v>4032.5904</v>
      </c>
      <c r="T83" s="41"/>
      <c r="U83" s="39">
        <f>'FY23'!S83</f>
        <v>3953.52</v>
      </c>
      <c r="V83" s="39">
        <f t="shared" si="27"/>
        <v>-79.070400000000063</v>
      </c>
      <c r="W83" s="39"/>
    </row>
    <row r="84" spans="3:23" s="37" customFormat="1" ht="12" x14ac:dyDescent="0.2">
      <c r="C84" s="200">
        <v>6522</v>
      </c>
      <c r="D84" s="37" t="s">
        <v>25</v>
      </c>
      <c r="E84" s="39">
        <f>+'FY23'!E84*(1+MYP!$K$10)</f>
        <v>0</v>
      </c>
      <c r="F84" s="39">
        <f>+'FY23'!F84*(1+MYP!$K$10)</f>
        <v>0</v>
      </c>
      <c r="G84" s="39">
        <f>+'FY23'!G84*(1+MYP!$K$10)</f>
        <v>0</v>
      </c>
      <c r="H84" s="39">
        <f>+'FY23'!H84*(1+MYP!$K$10)</f>
        <v>0</v>
      </c>
      <c r="I84" s="39">
        <f>+'FY23'!I84*(1+MYP!$K$10)</f>
        <v>0</v>
      </c>
      <c r="J84" s="39">
        <f>+'FY23'!J84*(1+MYP!$K$10)</f>
        <v>0</v>
      </c>
      <c r="K84" s="39">
        <f>+'FY23'!K84*(1+MYP!$K$10)</f>
        <v>0</v>
      </c>
      <c r="L84" s="39">
        <f>+'FY23'!L84*(1+MYP!$K$10)</f>
        <v>0</v>
      </c>
      <c r="M84" s="39">
        <f>+'FY23'!M84*(1+MYP!$K$10)</f>
        <v>0</v>
      </c>
      <c r="N84" s="39">
        <f>+'FY23'!N84*(1+MYP!$K$10)</f>
        <v>0</v>
      </c>
      <c r="O84" s="39">
        <f>+'FY23'!O84*(1+MYP!$K$10)</f>
        <v>0</v>
      </c>
      <c r="P84" s="39">
        <f>+'FY23'!P84*(1+MYP!$K$10)</f>
        <v>0</v>
      </c>
      <c r="Q84" s="100"/>
      <c r="R84" s="41"/>
      <c r="S84" s="59">
        <f t="shared" si="26"/>
        <v>0</v>
      </c>
      <c r="T84" s="41"/>
      <c r="U84" s="39">
        <f>'FY23'!S84</f>
        <v>0</v>
      </c>
      <c r="V84" s="39">
        <f t="shared" si="27"/>
        <v>0</v>
      </c>
      <c r="W84" s="39"/>
    </row>
    <row r="85" spans="3:23" s="37" customFormat="1" ht="12" x14ac:dyDescent="0.2">
      <c r="C85" s="200">
        <v>6523</v>
      </c>
      <c r="D85" s="37" t="s">
        <v>26</v>
      </c>
      <c r="E85" s="39">
        <f>+'FY23'!E85*(1+MYP!$K$10)</f>
        <v>0</v>
      </c>
      <c r="F85" s="39">
        <f>+'FY23'!F85*(1+MYP!$K$10)</f>
        <v>0</v>
      </c>
      <c r="G85" s="39">
        <f>+'FY23'!G85*(1+MYP!$K$10)</f>
        <v>0</v>
      </c>
      <c r="H85" s="39">
        <f>+'FY23'!H85*(1+MYP!$K$10)</f>
        <v>0</v>
      </c>
      <c r="I85" s="39">
        <f>+'FY23'!I85*(1+MYP!$K$10)</f>
        <v>0</v>
      </c>
      <c r="J85" s="39">
        <f>+'FY23'!J85*(1+MYP!$K$10)</f>
        <v>0</v>
      </c>
      <c r="K85" s="39">
        <f>+'FY23'!K85*(1+MYP!$K$10)</f>
        <v>0</v>
      </c>
      <c r="L85" s="39">
        <f>+'FY23'!L85*(1+MYP!$K$10)</f>
        <v>0</v>
      </c>
      <c r="M85" s="39">
        <f>+'FY23'!M85*(1+MYP!$K$10)</f>
        <v>0</v>
      </c>
      <c r="N85" s="39">
        <f>+'FY23'!N85*(1+MYP!$K$10)</f>
        <v>0</v>
      </c>
      <c r="O85" s="39">
        <f>+'FY23'!O85*(1+MYP!$K$10)</f>
        <v>0</v>
      </c>
      <c r="P85" s="39">
        <f>+'FY23'!P85*(1+MYP!$K$10)</f>
        <v>0</v>
      </c>
      <c r="Q85" s="100"/>
      <c r="R85" s="41"/>
      <c r="S85" s="59">
        <f t="shared" si="26"/>
        <v>0</v>
      </c>
      <c r="T85" s="41"/>
      <c r="U85" s="39">
        <f>'FY23'!S85</f>
        <v>0</v>
      </c>
      <c r="V85" s="39">
        <f t="shared" si="27"/>
        <v>0</v>
      </c>
      <c r="W85" s="39"/>
    </row>
    <row r="86" spans="3:23" s="37" customFormat="1" ht="12" x14ac:dyDescent="0.2">
      <c r="C86" s="200">
        <v>6531</v>
      </c>
      <c r="D86" s="37" t="s">
        <v>27</v>
      </c>
      <c r="E86" s="39">
        <f>+'FY23'!E86*(1+MYP!$K$10)</f>
        <v>159.18120000000002</v>
      </c>
      <c r="F86" s="39">
        <f>+'FY23'!F86*(1+MYP!$K$10)</f>
        <v>159.18120000000002</v>
      </c>
      <c r="G86" s="39">
        <f>+'FY23'!G86*(1+MYP!$K$10)</f>
        <v>159.18120000000002</v>
      </c>
      <c r="H86" s="39">
        <f>+'FY23'!H86*(1+MYP!$K$10)</f>
        <v>159.18120000000002</v>
      </c>
      <c r="I86" s="39">
        <f>+'FY23'!I86*(1+MYP!$K$10)</f>
        <v>159.18120000000002</v>
      </c>
      <c r="J86" s="39">
        <f>+'FY23'!J86*(1+MYP!$K$10)</f>
        <v>159.18120000000002</v>
      </c>
      <c r="K86" s="39">
        <f>+'FY23'!K86*(1+MYP!$K$10)</f>
        <v>159.18120000000002</v>
      </c>
      <c r="L86" s="39">
        <f>+'FY23'!L86*(1+MYP!$K$10)</f>
        <v>159.18120000000002</v>
      </c>
      <c r="M86" s="39">
        <f>+'FY23'!M86*(1+MYP!$K$10)</f>
        <v>159.18120000000002</v>
      </c>
      <c r="N86" s="39">
        <f>+'FY23'!N86*(1+MYP!$K$10)</f>
        <v>159.18120000000002</v>
      </c>
      <c r="O86" s="39">
        <f>+'FY23'!O86*(1+MYP!$K$10)</f>
        <v>159.18120000000002</v>
      </c>
      <c r="P86" s="39">
        <f>+'FY23'!P86*(1+MYP!$K$10)</f>
        <v>159.18120000000002</v>
      </c>
      <c r="Q86" s="100"/>
      <c r="R86" s="41"/>
      <c r="S86" s="59">
        <f t="shared" si="26"/>
        <v>1910.1744000000001</v>
      </c>
      <c r="T86" s="41"/>
      <c r="U86" s="39">
        <f>'FY23'!S86</f>
        <v>1872.7199999999996</v>
      </c>
      <c r="V86" s="39">
        <f t="shared" si="27"/>
        <v>-37.454400000000533</v>
      </c>
      <c r="W86" s="39"/>
    </row>
    <row r="87" spans="3:23" s="37" customFormat="1" ht="12" x14ac:dyDescent="0.2">
      <c r="C87" s="200">
        <v>6534</v>
      </c>
      <c r="D87" s="37" t="s">
        <v>28</v>
      </c>
      <c r="E87" s="39">
        <f>+'FY23'!E87*(1+MYP!$K$10)</f>
        <v>0</v>
      </c>
      <c r="F87" s="39">
        <f>+'FY23'!F87*(1+MYP!$K$10)</f>
        <v>0</v>
      </c>
      <c r="G87" s="39">
        <f>+'FY23'!G87*(1+MYP!$K$10)</f>
        <v>0</v>
      </c>
      <c r="H87" s="39">
        <f>+'FY23'!H87*(1+MYP!$K$10)</f>
        <v>0</v>
      </c>
      <c r="I87" s="39">
        <f>+'FY23'!I87*(1+MYP!$K$10)</f>
        <v>0</v>
      </c>
      <c r="J87" s="39">
        <f>+'FY23'!J87*(1+MYP!$K$10)</f>
        <v>0</v>
      </c>
      <c r="K87" s="39">
        <f>+'FY23'!K87*(1+MYP!$K$10)</f>
        <v>0</v>
      </c>
      <c r="L87" s="39">
        <f>+'FY23'!L87*(1+MYP!$K$10)</f>
        <v>0</v>
      </c>
      <c r="M87" s="39">
        <f>+'FY23'!M87*(1+MYP!$K$10)</f>
        <v>0</v>
      </c>
      <c r="N87" s="39">
        <f>+'FY23'!N87*(1+MYP!$K$10)</f>
        <v>0</v>
      </c>
      <c r="O87" s="39">
        <f>+'FY23'!O87*(1+MYP!$K$10)</f>
        <v>0</v>
      </c>
      <c r="P87" s="39">
        <f>+'FY23'!P87*(1+MYP!$K$10)</f>
        <v>0</v>
      </c>
      <c r="Q87" s="100"/>
      <c r="R87" s="41"/>
      <c r="S87" s="59">
        <f t="shared" si="26"/>
        <v>0</v>
      </c>
      <c r="T87" s="41"/>
      <c r="U87" s="39">
        <f>'FY23'!S87</f>
        <v>0</v>
      </c>
      <c r="V87" s="39">
        <f t="shared" si="27"/>
        <v>0</v>
      </c>
      <c r="W87" s="39"/>
    </row>
    <row r="88" spans="3:23" s="37" customFormat="1" ht="12" x14ac:dyDescent="0.2">
      <c r="C88" s="200">
        <v>6535</v>
      </c>
      <c r="D88" s="37" t="s">
        <v>235</v>
      </c>
      <c r="E88" s="39">
        <f>+'FY23'!E88*(1+MYP!$K$10)</f>
        <v>153.87515999999999</v>
      </c>
      <c r="F88" s="39">
        <f>+'FY23'!F88*(1+MYP!$K$10)</f>
        <v>153.87515999999999</v>
      </c>
      <c r="G88" s="39">
        <f>+'FY23'!G88*(1+MYP!$K$10)</f>
        <v>153.87515999999999</v>
      </c>
      <c r="H88" s="39">
        <f>+'FY23'!H88*(1+MYP!$K$10)</f>
        <v>153.87515999999999</v>
      </c>
      <c r="I88" s="39">
        <f>+'FY23'!I88*(1+MYP!$K$10)</f>
        <v>153.87515999999999</v>
      </c>
      <c r="J88" s="39">
        <f>+'FY23'!J88*(1+MYP!$K$10)</f>
        <v>153.87515999999999</v>
      </c>
      <c r="K88" s="39">
        <f>+'FY23'!K88*(1+MYP!$K$10)</f>
        <v>153.87515999999999</v>
      </c>
      <c r="L88" s="39">
        <f>+'FY23'!L88*(1+MYP!$K$10)</f>
        <v>153.87515999999999</v>
      </c>
      <c r="M88" s="39">
        <f>+'FY23'!M88*(1+MYP!$K$10)</f>
        <v>153.87515999999999</v>
      </c>
      <c r="N88" s="39">
        <f>+'FY23'!N88*(1+MYP!$K$10)</f>
        <v>153.87515999999999</v>
      </c>
      <c r="O88" s="39">
        <f>+'FY23'!O88*(1+MYP!$K$10)</f>
        <v>153.87515999999999</v>
      </c>
      <c r="P88" s="39">
        <f>+'FY23'!P88*(1+MYP!$K$10)</f>
        <v>153.87515999999999</v>
      </c>
      <c r="Q88" s="100"/>
      <c r="R88" s="41"/>
      <c r="S88" s="59">
        <f t="shared" si="26"/>
        <v>1846.5019200000004</v>
      </c>
      <c r="T88" s="41"/>
      <c r="U88" s="39">
        <f>'FY23'!S88</f>
        <v>1810.2959999999996</v>
      </c>
      <c r="V88" s="39">
        <f t="shared" si="27"/>
        <v>-36.205920000000788</v>
      </c>
      <c r="W88" s="39"/>
    </row>
    <row r="89" spans="3:23" s="37" customFormat="1" ht="12" x14ac:dyDescent="0.2">
      <c r="C89" s="200">
        <v>6540</v>
      </c>
      <c r="D89" s="37" t="s">
        <v>30</v>
      </c>
      <c r="E89" s="39">
        <f>+'FY23'!E89*(1+MYP!$K$10)</f>
        <v>176.86799999999999</v>
      </c>
      <c r="F89" s="39">
        <f>+'FY23'!F89*(1+MYP!$K$10)</f>
        <v>176.86799999999999</v>
      </c>
      <c r="G89" s="39">
        <f>+'FY23'!G89*(1+MYP!$K$10)</f>
        <v>176.86799999999999</v>
      </c>
      <c r="H89" s="39">
        <f>+'FY23'!H89*(1+MYP!$K$10)</f>
        <v>176.86799999999999</v>
      </c>
      <c r="I89" s="39">
        <f>+'FY23'!I89*(1+MYP!$K$10)</f>
        <v>176.86799999999999</v>
      </c>
      <c r="J89" s="39">
        <f>+'FY23'!J89*(1+MYP!$K$10)</f>
        <v>176.86799999999999</v>
      </c>
      <c r="K89" s="39">
        <f>+'FY23'!K89*(1+MYP!$K$10)</f>
        <v>176.86799999999999</v>
      </c>
      <c r="L89" s="39">
        <f>+'FY23'!L89*(1+MYP!$K$10)</f>
        <v>176.86799999999999</v>
      </c>
      <c r="M89" s="39">
        <f>+'FY23'!M89*(1+MYP!$K$10)</f>
        <v>176.86799999999999</v>
      </c>
      <c r="N89" s="39">
        <f>+'FY23'!N89*(1+MYP!$K$10)</f>
        <v>176.86799999999999</v>
      </c>
      <c r="O89" s="39">
        <f>+'FY23'!O89*(1+MYP!$K$10)</f>
        <v>176.86799999999999</v>
      </c>
      <c r="P89" s="39">
        <f>+'FY23'!P89*(1+MYP!$K$10)</f>
        <v>176.86799999999999</v>
      </c>
      <c r="Q89" s="100"/>
      <c r="R89" s="41"/>
      <c r="S89" s="59">
        <f t="shared" si="26"/>
        <v>2122.4159999999997</v>
      </c>
      <c r="T89" s="41"/>
      <c r="U89" s="39">
        <f>'FY23'!S89</f>
        <v>2080.8000000000006</v>
      </c>
      <c r="V89" s="39">
        <f t="shared" si="27"/>
        <v>-41.615999999999076</v>
      </c>
      <c r="W89" s="39"/>
    </row>
    <row r="90" spans="3:23" s="37" customFormat="1" ht="12" x14ac:dyDescent="0.2">
      <c r="C90" s="200">
        <v>6550</v>
      </c>
      <c r="D90" s="37" t="s">
        <v>31</v>
      </c>
      <c r="E90" s="39">
        <f>+'FY23'!E90*(1+MYP!$K$10)</f>
        <v>0</v>
      </c>
      <c r="F90" s="39">
        <f>+'FY23'!F90*(1+MYP!$K$10)</f>
        <v>0</v>
      </c>
      <c r="G90" s="39">
        <f>+'FY23'!G90*(1+MYP!$K$10)</f>
        <v>0</v>
      </c>
      <c r="H90" s="39">
        <f>+'FY23'!H90*(1+MYP!$K$10)</f>
        <v>0</v>
      </c>
      <c r="I90" s="39">
        <f>+'FY23'!I90*(1+MYP!$K$10)</f>
        <v>0</v>
      </c>
      <c r="J90" s="39">
        <f>+'FY23'!J90*(1+MYP!$K$10)</f>
        <v>0</v>
      </c>
      <c r="K90" s="39">
        <f>+'FY23'!K90*(1+MYP!$K$10)</f>
        <v>0</v>
      </c>
      <c r="L90" s="39">
        <f>+'FY23'!L90*(1+MYP!$K$10)</f>
        <v>0</v>
      </c>
      <c r="M90" s="39">
        <f>+'FY23'!M90*(1+MYP!$K$10)</f>
        <v>0</v>
      </c>
      <c r="N90" s="39">
        <f>+'FY23'!N90*(1+MYP!$K$10)</f>
        <v>0</v>
      </c>
      <c r="O90" s="39">
        <f>+'FY23'!O90*(1+MYP!$K$10)</f>
        <v>0</v>
      </c>
      <c r="P90" s="39">
        <f>+'FY23'!P90*(1+MYP!$K$10)</f>
        <v>0</v>
      </c>
      <c r="Q90" s="100"/>
      <c r="R90" s="41"/>
      <c r="S90" s="59">
        <f t="shared" si="26"/>
        <v>0</v>
      </c>
      <c r="T90" s="41"/>
      <c r="U90" s="39">
        <f>'FY23'!S90</f>
        <v>0</v>
      </c>
      <c r="V90" s="39">
        <f t="shared" si="27"/>
        <v>0</v>
      </c>
      <c r="W90" s="39"/>
    </row>
    <row r="91" spans="3:23" s="37" customFormat="1" ht="12" x14ac:dyDescent="0.2">
      <c r="C91" s="207">
        <v>6568</v>
      </c>
      <c r="D91" s="37" t="s">
        <v>186</v>
      </c>
      <c r="E91" s="39">
        <f>+'FY23'!E91*(1+MYP!$G$8)</f>
        <v>0</v>
      </c>
      <c r="F91" s="39">
        <f>+'FY21'!F91*(1+MYP!$G$8)</f>
        <v>0</v>
      </c>
      <c r="G91" s="39">
        <f>+'FY21'!G91*(1+MYP!$G$8)</f>
        <v>0</v>
      </c>
      <c r="H91" s="39">
        <f>+'FY21'!H91*(1+MYP!$G$8)</f>
        <v>0</v>
      </c>
      <c r="I91" s="39">
        <f>+'FY21'!I91*(1+MYP!$G$8)</f>
        <v>0</v>
      </c>
      <c r="J91" s="39">
        <f>+'FY21'!J91*(1+MYP!$G$8)</f>
        <v>0</v>
      </c>
      <c r="K91" s="39">
        <f>+'FY21'!K91*(1+MYP!$G$8)</f>
        <v>0</v>
      </c>
      <c r="L91" s="39">
        <f>+'FY21'!L91*(1+MYP!$G$8)</f>
        <v>0</v>
      </c>
      <c r="M91" s="39">
        <f>+'FY21'!M91*(1+MYP!$G$8)</f>
        <v>0</v>
      </c>
      <c r="N91" s="39">
        <f>+'FY21'!N91*(1+MYP!$G$8)</f>
        <v>0</v>
      </c>
      <c r="O91" s="39">
        <f>+'FY21'!O91*(1+MYP!$G$8)</f>
        <v>0</v>
      </c>
      <c r="P91" s="39">
        <f>+'FY21'!P91*(1+MYP!$G$8)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'FY23'!S91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200">
        <v>6569</v>
      </c>
      <c r="D92" s="37" t="s">
        <v>32</v>
      </c>
      <c r="E92" s="39">
        <f>+'FY23'!E92*(1+MYP!$G$8)</f>
        <v>0</v>
      </c>
      <c r="F92" s="39">
        <f>+'FY21'!F92*(1+MYP!$G$8)</f>
        <v>0</v>
      </c>
      <c r="G92" s="39">
        <f>+'FY21'!G92*(1+MYP!$G$8)</f>
        <v>0</v>
      </c>
      <c r="H92" s="39">
        <f>+'FY21'!H92*(1+MYP!$G$8)</f>
        <v>137812.5</v>
      </c>
      <c r="I92" s="39">
        <f>+'FY21'!I92*(1+MYP!$G$8)</f>
        <v>124162.5</v>
      </c>
      <c r="J92" s="39">
        <f>+'FY21'!J92*(1+MYP!$G$8)</f>
        <v>-10500</v>
      </c>
      <c r="K92" s="39">
        <f>+'FY21'!K92*(1+MYP!$G$8)</f>
        <v>0</v>
      </c>
      <c r="L92" s="39">
        <f>+'FY21'!L92*(1+MYP!$G$8)</f>
        <v>0</v>
      </c>
      <c r="M92" s="39">
        <f>+'FY21'!M92*(1+MYP!$G$8)</f>
        <v>159075</v>
      </c>
      <c r="N92" s="39">
        <f>+'FY21'!N92*(1+MYP!$G$8)</f>
        <v>145425</v>
      </c>
      <c r="O92" s="39">
        <f>+'FY21'!O92*(1+MYP!$G$8)</f>
        <v>-10500</v>
      </c>
      <c r="P92" s="39">
        <f>+'FY21'!P92*(1+MYP!$G$8)</f>
        <v>0</v>
      </c>
      <c r="Q92" s="100"/>
      <c r="R92" s="41"/>
      <c r="S92" s="59">
        <f t="shared" si="26"/>
        <v>545475</v>
      </c>
      <c r="T92" s="41"/>
      <c r="U92" s="39">
        <f>'FY23'!S92</f>
        <v>572748.75</v>
      </c>
      <c r="V92" s="39">
        <f t="shared" si="27"/>
        <v>27273.75</v>
      </c>
      <c r="W92" s="39"/>
    </row>
    <row r="93" spans="3:23" s="37" customFormat="1" ht="12" x14ac:dyDescent="0.2">
      <c r="C93" s="200">
        <v>6580</v>
      </c>
      <c r="D93" s="37" t="s">
        <v>33</v>
      </c>
      <c r="E93" s="39">
        <f>+'FY23'!E93*(1+MYP!$K$10)</f>
        <v>0</v>
      </c>
      <c r="F93" s="39">
        <f>+'FY23'!F93*(1+MYP!$K$10)</f>
        <v>0</v>
      </c>
      <c r="G93" s="39">
        <f>+'FY23'!G93*(1+MYP!$K$10)</f>
        <v>0</v>
      </c>
      <c r="H93" s="39">
        <f>+'FY23'!H93*(1+MYP!$K$10)</f>
        <v>0</v>
      </c>
      <c r="I93" s="39">
        <f>+'FY23'!I93*(1+MYP!$K$10)</f>
        <v>0</v>
      </c>
      <c r="J93" s="39">
        <f>+'FY23'!J93*(1+MYP!$K$10)</f>
        <v>0</v>
      </c>
      <c r="K93" s="39">
        <f>+'FY23'!K93*(1+MYP!$K$10)</f>
        <v>0</v>
      </c>
      <c r="L93" s="39">
        <f>+'FY23'!L93*(1+MYP!$K$10)</f>
        <v>0</v>
      </c>
      <c r="M93" s="39">
        <f>+'FY23'!M93*(1+MYP!$K$10)</f>
        <v>0</v>
      </c>
      <c r="N93" s="39">
        <f>+'FY23'!N93*(1+MYP!$K$10)</f>
        <v>0</v>
      </c>
      <c r="O93" s="39">
        <f>+'FY23'!O93*(1+MYP!$K$10)</f>
        <v>0</v>
      </c>
      <c r="P93" s="39">
        <f>+'FY23'!P93*(1+MYP!$K$10)</f>
        <v>0</v>
      </c>
      <c r="Q93" s="100"/>
      <c r="R93" s="41"/>
      <c r="S93" s="59">
        <f t="shared" si="26"/>
        <v>0</v>
      </c>
      <c r="T93" s="41"/>
      <c r="U93" s="39">
        <f>'FY23'!S93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525.2979600000001</v>
      </c>
      <c r="F94" s="50">
        <f t="shared" ref="F94:V94" si="30">SUBTOTAL(9,F82:F93)</f>
        <v>4557.8883599999999</v>
      </c>
      <c r="G94" s="50">
        <f t="shared" si="30"/>
        <v>525.2979600000001</v>
      </c>
      <c r="H94" s="50">
        <f t="shared" si="30"/>
        <v>138337.79796</v>
      </c>
      <c r="I94" s="50">
        <f t="shared" si="30"/>
        <v>124687.79796</v>
      </c>
      <c r="J94" s="50">
        <f t="shared" si="30"/>
        <v>-9974.7020400000001</v>
      </c>
      <c r="K94" s="50">
        <f t="shared" si="30"/>
        <v>525.2979600000001</v>
      </c>
      <c r="L94" s="50">
        <f t="shared" si="30"/>
        <v>525.2979600000001</v>
      </c>
      <c r="M94" s="50">
        <f t="shared" si="30"/>
        <v>159600.29796</v>
      </c>
      <c r="N94" s="50">
        <f t="shared" si="30"/>
        <v>145950.29796</v>
      </c>
      <c r="O94" s="50">
        <f t="shared" si="30"/>
        <v>-9974.7020400000001</v>
      </c>
      <c r="P94" s="50">
        <f t="shared" si="30"/>
        <v>525.2979600000001</v>
      </c>
      <c r="Q94" s="99"/>
      <c r="R94" s="41"/>
      <c r="S94" s="61">
        <f t="shared" si="30"/>
        <v>555811.16592000006</v>
      </c>
      <c r="T94" s="41"/>
      <c r="U94" s="50">
        <f t="shared" si="30"/>
        <v>582882.24600000004</v>
      </c>
      <c r="V94" s="50">
        <f t="shared" si="30"/>
        <v>27071.08008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200">
        <v>6610</v>
      </c>
      <c r="D96" s="37" t="s">
        <v>34</v>
      </c>
      <c r="E96" s="39">
        <f>+'FY23'!E96*(1+MYP!$K$10)</f>
        <v>530.60400000000004</v>
      </c>
      <c r="F96" s="39">
        <f>+'FY23'!F96*(1+MYP!$K$10)</f>
        <v>530.60400000000004</v>
      </c>
      <c r="G96" s="39">
        <f>+'FY23'!G96*(1+MYP!$K$10)</f>
        <v>530.60400000000004</v>
      </c>
      <c r="H96" s="39">
        <f>+'FY23'!H96*(1+MYP!$K$10)</f>
        <v>938.10787200000004</v>
      </c>
      <c r="I96" s="39">
        <f>+'FY23'!I96*(1+MYP!$K$10)</f>
        <v>530.60400000000004</v>
      </c>
      <c r="J96" s="39">
        <f>+'FY23'!J96*(1+MYP!$K$10)</f>
        <v>530.60400000000004</v>
      </c>
      <c r="K96" s="39">
        <f>+'FY23'!K96*(1+MYP!$K$10)</f>
        <v>530.60400000000004</v>
      </c>
      <c r="L96" s="39">
        <f>+'FY23'!L96*(1+MYP!$K$10)</f>
        <v>530.60400000000004</v>
      </c>
      <c r="M96" s="39">
        <f>+'FY23'!M96*(1+MYP!$K$10)</f>
        <v>530.60400000000004</v>
      </c>
      <c r="N96" s="39">
        <f>+'FY23'!N96*(1+MYP!$K$10)</f>
        <v>530.60400000000004</v>
      </c>
      <c r="O96" s="39">
        <f>+'FY23'!O96*(1+MYP!$K$10)</f>
        <v>530.60400000000004</v>
      </c>
      <c r="P96" s="39">
        <f>+'FY23'!P96*(1+MYP!$K$10)</f>
        <v>530.60400000000004</v>
      </c>
      <c r="Q96" s="100"/>
      <c r="R96" s="41"/>
      <c r="S96" s="59">
        <f t="shared" ref="S96:S102" si="31">SUM(E96:Q96)</f>
        <v>6774.7518720000025</v>
      </c>
      <c r="T96" s="41"/>
      <c r="U96" s="39">
        <f>'FY23'!S96</f>
        <v>6641.913599999999</v>
      </c>
      <c r="V96" s="39">
        <f t="shared" ref="V96:V102" si="32">U96-S96</f>
        <v>-132.8382720000036</v>
      </c>
      <c r="W96" s="39"/>
    </row>
    <row r="97" spans="3:23" s="37" customFormat="1" ht="12" x14ac:dyDescent="0.2">
      <c r="C97" s="200">
        <v>6612</v>
      </c>
      <c r="D97" s="37" t="s">
        <v>35</v>
      </c>
      <c r="E97" s="39">
        <f>+'FY23'!E97*(1+MYP!$K$10)</f>
        <v>0</v>
      </c>
      <c r="F97" s="39">
        <f>+'FY23'!F97*(1+MYP!$K$10)</f>
        <v>0</v>
      </c>
      <c r="G97" s="39">
        <f>+'FY23'!G97*(1+MYP!$K$10)</f>
        <v>0</v>
      </c>
      <c r="H97" s="39">
        <f>+'FY23'!H97*(1+MYP!$K$10)</f>
        <v>0</v>
      </c>
      <c r="I97" s="39">
        <f>+'FY23'!I97*(1+MYP!$K$10)</f>
        <v>0</v>
      </c>
      <c r="J97" s="39">
        <f>+'FY23'!J97*(1+MYP!$K$10)</f>
        <v>0</v>
      </c>
      <c r="K97" s="39">
        <f>+'FY23'!K97*(1+MYP!$K$10)</f>
        <v>0</v>
      </c>
      <c r="L97" s="39">
        <f>+'FY23'!L97*(1+MYP!$K$10)</f>
        <v>0</v>
      </c>
      <c r="M97" s="39">
        <f>+'FY23'!M97*(1+MYP!$K$10)</f>
        <v>0</v>
      </c>
      <c r="N97" s="39">
        <f>+'FY23'!N97*(1+MYP!$K$10)</f>
        <v>0</v>
      </c>
      <c r="O97" s="39">
        <f>+'FY23'!O97*(1+MYP!$K$10)</f>
        <v>0</v>
      </c>
      <c r="P97" s="39">
        <f>+'FY23'!P97*(1+MYP!$K$10)</f>
        <v>0</v>
      </c>
      <c r="Q97" s="100"/>
      <c r="R97" s="41"/>
      <c r="S97" s="59">
        <f t="shared" si="31"/>
        <v>0</v>
      </c>
      <c r="T97" s="41"/>
      <c r="U97" s="39">
        <f>'FY23'!S97</f>
        <v>0</v>
      </c>
      <c r="V97" s="39">
        <f t="shared" si="32"/>
        <v>0</v>
      </c>
      <c r="W97" s="39"/>
    </row>
    <row r="98" spans="3:23" s="37" customFormat="1" ht="12" x14ac:dyDescent="0.2">
      <c r="C98" s="200">
        <v>6622</v>
      </c>
      <c r="D98" s="37" t="s">
        <v>36</v>
      </c>
      <c r="E98" s="39">
        <f>+'FY23'!E98*(1+MYP!$K$10)</f>
        <v>848.96640000000002</v>
      </c>
      <c r="F98" s="39">
        <f>+'FY23'!F98*(1+MYP!$K$10)</f>
        <v>848.96640000000002</v>
      </c>
      <c r="G98" s="39">
        <f>+'FY23'!G98*(1+MYP!$K$10)</f>
        <v>848.96640000000002</v>
      </c>
      <c r="H98" s="39">
        <f>+'FY23'!H98*(1+MYP!$K$10)</f>
        <v>848.96640000000002</v>
      </c>
      <c r="I98" s="39">
        <f>+'FY23'!I98*(1+MYP!$K$10)</f>
        <v>848.96640000000002</v>
      </c>
      <c r="J98" s="39">
        <f>+'FY23'!J98*(1+MYP!$K$10)</f>
        <v>848.96640000000002</v>
      </c>
      <c r="K98" s="39">
        <f>+'FY23'!K98*(1+MYP!$K$10)</f>
        <v>848.96640000000002</v>
      </c>
      <c r="L98" s="39">
        <f>+'FY23'!L98*(1+MYP!$K$10)</f>
        <v>848.96640000000002</v>
      </c>
      <c r="M98" s="39">
        <f>+'FY23'!M98*(1+MYP!$K$10)</f>
        <v>848.96640000000002</v>
      </c>
      <c r="N98" s="39">
        <f>+'FY23'!N98*(1+MYP!$K$10)</f>
        <v>848.96640000000002</v>
      </c>
      <c r="O98" s="39">
        <f>+'FY23'!O98*(1+MYP!$K$10)</f>
        <v>848.96640000000002</v>
      </c>
      <c r="P98" s="39">
        <f>+'FY23'!P98*(1+MYP!$K$10)</f>
        <v>848.96640000000002</v>
      </c>
      <c r="Q98" s="100"/>
      <c r="R98" s="41"/>
      <c r="S98" s="59">
        <f t="shared" si="31"/>
        <v>10187.596799999999</v>
      </c>
      <c r="T98" s="41"/>
      <c r="U98" s="39">
        <f>'FY23'!S98</f>
        <v>9987.8399999999983</v>
      </c>
      <c r="V98" s="39">
        <f t="shared" si="32"/>
        <v>-199.75680000000102</v>
      </c>
      <c r="W98" s="39"/>
    </row>
    <row r="99" spans="3:23" s="37" customFormat="1" ht="12" x14ac:dyDescent="0.2">
      <c r="C99" s="200">
        <v>6641</v>
      </c>
      <c r="D99" s="37" t="s">
        <v>37</v>
      </c>
      <c r="E99" s="39">
        <f>+'FY23'!E99*(1+MYP!$G$8)</f>
        <v>0</v>
      </c>
      <c r="F99" s="39">
        <f>+'FY23'!F99*(1+MYP!$G$8)</f>
        <v>0</v>
      </c>
      <c r="G99" s="39">
        <f>+'FY23'!G99*(1+MYP!$G$8)</f>
        <v>0</v>
      </c>
      <c r="H99" s="39">
        <f>+'FY23'!H99*(1+MYP!$G$8)</f>
        <v>27493.59375</v>
      </c>
      <c r="I99" s="39">
        <f>+'FY23'!I99*(1+MYP!$G$8)</f>
        <v>7813.96875</v>
      </c>
      <c r="J99" s="39">
        <f>+'FY23'!J99*(1+MYP!$G$8)</f>
        <v>0</v>
      </c>
      <c r="K99" s="39">
        <f>+'FY23'!K99*(1+MYP!$G$8)</f>
        <v>0</v>
      </c>
      <c r="L99" s="39">
        <f>+'FY23'!L99*(1+MYP!$G$8)</f>
        <v>0</v>
      </c>
      <c r="M99" s="39">
        <f>+'FY23'!M99*(1+MYP!$G$8)</f>
        <v>0</v>
      </c>
      <c r="N99" s="39">
        <f>+'FY23'!N99*(1+MYP!$G$8)</f>
        <v>10158.159375000001</v>
      </c>
      <c r="O99" s="39">
        <f>+'FY23'!O99*(1+MYP!$G$8)</f>
        <v>10158.159375000001</v>
      </c>
      <c r="P99" s="39">
        <f>+'FY23'!P99*(1+MYP!$G$8)</f>
        <v>0</v>
      </c>
      <c r="Q99" s="100"/>
      <c r="R99" s="41"/>
      <c r="S99" s="59">
        <f t="shared" si="31"/>
        <v>55623.881250000006</v>
      </c>
      <c r="T99" s="41"/>
      <c r="U99" s="39">
        <f>'FY23'!S99</f>
        <v>52975.125</v>
      </c>
      <c r="V99" s="39">
        <f t="shared" si="32"/>
        <v>-2648.7562500000058</v>
      </c>
      <c r="W99" s="39"/>
    </row>
    <row r="100" spans="3:23" s="37" customFormat="1" ht="12" x14ac:dyDescent="0.2">
      <c r="C100" s="200">
        <v>6642</v>
      </c>
      <c r="D100" s="37" t="s">
        <v>38</v>
      </c>
      <c r="E100" s="39">
        <f>+'FY23'!E100*(1+MYP!$G$8)</f>
        <v>0</v>
      </c>
      <c r="F100" s="39">
        <f>+'FY23'!F100*(1+MYP!$G$8)</f>
        <v>0</v>
      </c>
      <c r="G100" s="39">
        <f>+'FY23'!G100*(1+MYP!$G$8)</f>
        <v>0</v>
      </c>
      <c r="H100" s="39">
        <f>+'FY23'!H100*(1+MYP!$G$8)</f>
        <v>15627.9375</v>
      </c>
      <c r="I100" s="39">
        <f>+'FY23'!I100*(1+MYP!$G$8)</f>
        <v>15627.9375</v>
      </c>
      <c r="J100" s="39">
        <f>+'FY23'!J100*(1+MYP!$G$8)</f>
        <v>0</v>
      </c>
      <c r="K100" s="39">
        <f>+'FY23'!K100*(1+MYP!$G$8)</f>
        <v>0</v>
      </c>
      <c r="L100" s="39">
        <f>+'FY23'!L100*(1+MYP!$G$8)</f>
        <v>0</v>
      </c>
      <c r="M100" s="39">
        <f>+'FY23'!M100*(1+MYP!$G$8)</f>
        <v>0</v>
      </c>
      <c r="N100" s="39">
        <f>+'FY23'!N100*(1+MYP!$G$8)</f>
        <v>21097.715625000001</v>
      </c>
      <c r="O100" s="39">
        <f>+'FY23'!O100*(1+MYP!$G$8)</f>
        <v>21097.715625000001</v>
      </c>
      <c r="P100" s="39">
        <f>+'FY23'!P100*(1+MYP!$G$8)</f>
        <v>0</v>
      </c>
      <c r="Q100" s="100"/>
      <c r="R100" s="41"/>
      <c r="S100" s="59">
        <f t="shared" si="31"/>
        <v>73451.306249999994</v>
      </c>
      <c r="T100" s="41"/>
      <c r="U100" s="39">
        <f>'FY23'!S100</f>
        <v>69953.625</v>
      </c>
      <c r="V100" s="39">
        <f t="shared" si="32"/>
        <v>-3497.6812499999942</v>
      </c>
      <c r="W100" s="39"/>
    </row>
    <row r="101" spans="3:23" s="37" customFormat="1" ht="12" x14ac:dyDescent="0.2">
      <c r="C101" s="200">
        <v>6651</v>
      </c>
      <c r="D101" s="37" t="s">
        <v>39</v>
      </c>
      <c r="E101" s="39">
        <f>+'FY23'!E101*(1+MYP!$K$10)</f>
        <v>0</v>
      </c>
      <c r="F101" s="39">
        <f>+'FY23'!F101*(1+MYP!$K$10)</f>
        <v>0</v>
      </c>
      <c r="G101" s="39">
        <f>+'FY23'!G101*(1+MYP!$K$10)</f>
        <v>0</v>
      </c>
      <c r="H101" s="39">
        <f>+'FY23'!H101*(1+MYP!$K$10)</f>
        <v>0</v>
      </c>
      <c r="I101" s="39">
        <f>+'FY23'!I101*(1+MYP!$K$10)</f>
        <v>0</v>
      </c>
      <c r="J101" s="39">
        <f>+'FY23'!J101*(1+MYP!$K$10)</f>
        <v>0</v>
      </c>
      <c r="K101" s="39">
        <f>+'FY23'!K101*(1+MYP!$K$10)</f>
        <v>0</v>
      </c>
      <c r="L101" s="39">
        <f>+'FY23'!L101*(1+MYP!$K$10)</f>
        <v>0</v>
      </c>
      <c r="M101" s="39">
        <f>+'FY23'!M101*(1+MYP!$K$10)</f>
        <v>0</v>
      </c>
      <c r="N101" s="39">
        <f>+'FY23'!N101*(1+MYP!$K$10)</f>
        <v>0</v>
      </c>
      <c r="O101" s="39">
        <f>+'FY23'!O101*(1+MYP!$K$10)</f>
        <v>0</v>
      </c>
      <c r="P101" s="39">
        <f>+'FY23'!P101*(1+MYP!$K$10)</f>
        <v>0</v>
      </c>
      <c r="Q101" s="100"/>
      <c r="R101" s="41"/>
      <c r="S101" s="59">
        <f t="shared" si="31"/>
        <v>0</v>
      </c>
      <c r="T101" s="41"/>
      <c r="U101" s="39">
        <f>'FY23'!S101</f>
        <v>0</v>
      </c>
      <c r="V101" s="39">
        <f t="shared" si="32"/>
        <v>0</v>
      </c>
      <c r="W101" s="39"/>
    </row>
    <row r="102" spans="3:23" s="37" customFormat="1" ht="12" x14ac:dyDescent="0.2">
      <c r="C102" s="200">
        <v>6652</v>
      </c>
      <c r="D102" s="37" t="s">
        <v>40</v>
      </c>
      <c r="E102" s="39">
        <f>+'FY23'!E102*(1+MYP!$K$10)</f>
        <v>0</v>
      </c>
      <c r="F102" s="39">
        <f>+'FY23'!F102*(1+MYP!$K$10)</f>
        <v>0</v>
      </c>
      <c r="G102" s="39">
        <f>+'FY23'!G102*(1+MYP!$K$10)</f>
        <v>0</v>
      </c>
      <c r="H102" s="39">
        <f>+'FY23'!H102*(1+MYP!$K$10)</f>
        <v>0</v>
      </c>
      <c r="I102" s="39">
        <f>+'FY23'!I102*(1+MYP!$K$10)</f>
        <v>0</v>
      </c>
      <c r="J102" s="39">
        <f>+'FY23'!J102*(1+MYP!$K$10)</f>
        <v>0</v>
      </c>
      <c r="K102" s="39">
        <f>+'FY23'!K102*(1+MYP!$K$10)</f>
        <v>0</v>
      </c>
      <c r="L102" s="39">
        <f>+'FY23'!L102*(1+MYP!$K$10)</f>
        <v>0</v>
      </c>
      <c r="M102" s="39">
        <f>+'FY23'!M102*(1+MYP!$K$10)</f>
        <v>0</v>
      </c>
      <c r="N102" s="39">
        <f>+'FY23'!N102*(1+MYP!$K$10)</f>
        <v>0</v>
      </c>
      <c r="O102" s="39">
        <f>+'FY23'!O102*(1+MYP!$K$10)</f>
        <v>0</v>
      </c>
      <c r="P102" s="39">
        <f>+'FY23'!P102*(1+MYP!$K$10)</f>
        <v>0</v>
      </c>
      <c r="Q102" s="100"/>
      <c r="R102" s="41"/>
      <c r="S102" s="59">
        <f t="shared" si="31"/>
        <v>0</v>
      </c>
      <c r="T102" s="41"/>
      <c r="U102" s="39">
        <f>'FY23'!S102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1379.5704000000001</v>
      </c>
      <c r="F103" s="50">
        <f t="shared" ref="F103:V103" si="33">SUBTOTAL(9,F96:F102)</f>
        <v>1379.5704000000001</v>
      </c>
      <c r="G103" s="50">
        <f t="shared" si="33"/>
        <v>1379.5704000000001</v>
      </c>
      <c r="H103" s="50">
        <f t="shared" si="33"/>
        <v>44908.605521999998</v>
      </c>
      <c r="I103" s="50">
        <f t="shared" si="33"/>
        <v>24821.476650000001</v>
      </c>
      <c r="J103" s="50">
        <f t="shared" si="33"/>
        <v>1379.5704000000001</v>
      </c>
      <c r="K103" s="50">
        <f t="shared" si="33"/>
        <v>1379.5704000000001</v>
      </c>
      <c r="L103" s="50">
        <f t="shared" si="33"/>
        <v>1379.5704000000001</v>
      </c>
      <c r="M103" s="50">
        <f t="shared" si="33"/>
        <v>1379.5704000000001</v>
      </c>
      <c r="N103" s="50">
        <f t="shared" si="33"/>
        <v>32635.445400000004</v>
      </c>
      <c r="O103" s="50">
        <f t="shared" si="33"/>
        <v>32635.445400000004</v>
      </c>
      <c r="P103" s="50">
        <f t="shared" si="33"/>
        <v>1379.5704000000001</v>
      </c>
      <c r="Q103" s="99"/>
      <c r="R103" s="41"/>
      <c r="S103" s="61">
        <f t="shared" si="33"/>
        <v>146037.53617199999</v>
      </c>
      <c r="T103" s="41"/>
      <c r="U103" s="50">
        <f t="shared" si="33"/>
        <v>139558.5036</v>
      </c>
      <c r="V103" s="50">
        <f t="shared" si="33"/>
        <v>-6479.0325720000046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200">
        <v>6734</v>
      </c>
      <c r="D105" s="37" t="s">
        <v>41</v>
      </c>
      <c r="E105" s="39">
        <f>+'FY23'!E105*(1+MYP!$K$10)</f>
        <v>0</v>
      </c>
      <c r="F105" s="39">
        <f>+'FY23'!F105*(1+MYP!$K$10)</f>
        <v>0</v>
      </c>
      <c r="G105" s="39">
        <f>+'FY23'!G105*(1+MYP!$K$10)</f>
        <v>0</v>
      </c>
      <c r="H105" s="39">
        <f>+'FY23'!H105*(1+MYP!$K$10)</f>
        <v>0</v>
      </c>
      <c r="I105" s="39">
        <f>+'FY23'!I105*(1+MYP!$K$10)</f>
        <v>0</v>
      </c>
      <c r="J105" s="39">
        <f>+'FY23'!J105*(1+MYP!$K$10)</f>
        <v>0</v>
      </c>
      <c r="K105" s="39">
        <f>+'FY23'!K105*(1+MYP!$K$10)</f>
        <v>0</v>
      </c>
      <c r="L105" s="39">
        <f>+'FY23'!L105*(1+MYP!$K$10)</f>
        <v>0</v>
      </c>
      <c r="M105" s="39">
        <f>+'FY23'!M105*(1+MYP!$K$10)</f>
        <v>0</v>
      </c>
      <c r="N105" s="39">
        <f>+'FY23'!N105*(1+MYP!$K$10)</f>
        <v>0</v>
      </c>
      <c r="O105" s="39">
        <f>+'FY23'!O105*(1+MYP!$K$10)</f>
        <v>0</v>
      </c>
      <c r="P105" s="39">
        <f>+'FY23'!P105*(1+MYP!$K$10)</f>
        <v>0</v>
      </c>
      <c r="Q105" s="100"/>
      <c r="R105" s="41"/>
      <c r="S105" s="59">
        <f t="shared" ref="S105" si="34">SUM(E105:Q105)</f>
        <v>0</v>
      </c>
      <c r="T105" s="41"/>
      <c r="U105" s="39">
        <f>'FY23'!S105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200">
        <v>6810</v>
      </c>
      <c r="D108" s="37" t="s">
        <v>42</v>
      </c>
      <c r="E108" s="39">
        <f>+'FY23'!E108*(1+MYP!$K$10)</f>
        <v>201.62952000000001</v>
      </c>
      <c r="F108" s="39">
        <f>+'FY23'!F108*(1+MYP!$K$10)</f>
        <v>74.284559999999999</v>
      </c>
      <c r="G108" s="39">
        <f>+'FY23'!G108*(1+MYP!$K$10)</f>
        <v>1347.7341600000002</v>
      </c>
      <c r="H108" s="39">
        <f>+'FY23'!H108*(1+MYP!$K$10)</f>
        <v>10.612080000000001</v>
      </c>
      <c r="I108" s="39">
        <f>+'FY23'!I108*(1+MYP!$K$10)</f>
        <v>10.612080000000001</v>
      </c>
      <c r="J108" s="39">
        <f>+'FY23'!J108*(1+MYP!$K$10)</f>
        <v>74.284559999999999</v>
      </c>
      <c r="K108" s="39">
        <f>+'FY23'!K108*(1+MYP!$K$10)</f>
        <v>74.284559999999999</v>
      </c>
      <c r="L108" s="39">
        <f>+'FY23'!L108*(1+MYP!$K$10)</f>
        <v>106.1208</v>
      </c>
      <c r="M108" s="39">
        <f>+'FY23'!M108*(1+MYP!$K$10)</f>
        <v>336.40293600000007</v>
      </c>
      <c r="N108" s="39">
        <f>+'FY23'!N108*(1+MYP!$K$10)</f>
        <v>10.612080000000001</v>
      </c>
      <c r="O108" s="39">
        <f>+'FY23'!O108*(1+MYP!$K$10)</f>
        <v>10.612080000000001</v>
      </c>
      <c r="P108" s="39">
        <f>+'FY23'!P108*(1+MYP!$K$10)</f>
        <v>10.612080000000001</v>
      </c>
      <c r="Q108" s="100"/>
      <c r="R108" s="41"/>
      <c r="S108" s="59">
        <f t="shared" ref="S108" si="37">SUM(E108:Q108)</f>
        <v>2267.801496</v>
      </c>
      <c r="T108" s="41"/>
      <c r="U108" s="39">
        <f>'FY23'!S108</f>
        <v>2223.3348000000001</v>
      </c>
      <c r="V108" s="39">
        <f t="shared" ref="V108" si="38">U108-S108</f>
        <v>-44.466695999999956</v>
      </c>
      <c r="W108" s="39"/>
    </row>
    <row r="109" spans="3:23" s="37" customFormat="1" ht="12" x14ac:dyDescent="0.2">
      <c r="C109" s="38"/>
      <c r="E109" s="50">
        <f>SUBTOTAL(9,E108)</f>
        <v>201.62952000000001</v>
      </c>
      <c r="F109" s="50">
        <f t="shared" ref="F109:P109" si="39">SUBTOTAL(9,F108)</f>
        <v>74.284559999999999</v>
      </c>
      <c r="G109" s="50">
        <f t="shared" si="39"/>
        <v>1347.7341600000002</v>
      </c>
      <c r="H109" s="50">
        <f t="shared" si="39"/>
        <v>10.612080000000001</v>
      </c>
      <c r="I109" s="50">
        <f t="shared" si="39"/>
        <v>10.612080000000001</v>
      </c>
      <c r="J109" s="50">
        <f t="shared" si="39"/>
        <v>74.284559999999999</v>
      </c>
      <c r="K109" s="50">
        <f t="shared" si="39"/>
        <v>74.284559999999999</v>
      </c>
      <c r="L109" s="50">
        <f t="shared" si="39"/>
        <v>106.1208</v>
      </c>
      <c r="M109" s="50">
        <f t="shared" si="39"/>
        <v>336.40293600000007</v>
      </c>
      <c r="N109" s="50">
        <f t="shared" si="39"/>
        <v>10.612080000000001</v>
      </c>
      <c r="O109" s="50">
        <f t="shared" si="39"/>
        <v>10.612080000000001</v>
      </c>
      <c r="P109" s="50">
        <f t="shared" si="39"/>
        <v>10.612080000000001</v>
      </c>
      <c r="Q109" s="99"/>
      <c r="R109" s="41"/>
      <c r="S109" s="61">
        <f t="shared" ref="S109" si="40">SUBTOTAL(9,S108)</f>
        <v>2267.801496</v>
      </c>
      <c r="T109" s="41"/>
      <c r="U109" s="50">
        <f t="shared" ref="U109:V109" si="41">SUBTOTAL(9,U108)</f>
        <v>2223.3348000000001</v>
      </c>
      <c r="V109" s="50">
        <f t="shared" si="41"/>
        <v>-44.466695999999956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200">
        <v>7306</v>
      </c>
      <c r="D111" s="37" t="s">
        <v>43</v>
      </c>
      <c r="E111" s="39">
        <f>+'FY23'!E111*(1+MYP!$K$10)</f>
        <v>0</v>
      </c>
      <c r="F111" s="39">
        <f>+'FY23'!F111*(1+MYP!$K$10)</f>
        <v>0</v>
      </c>
      <c r="G111" s="39">
        <f>+'FY23'!G111*(1+MYP!$K$10)</f>
        <v>0</v>
      </c>
      <c r="H111" s="39">
        <f>+'FY23'!H111*(1+MYP!$K$10)</f>
        <v>0</v>
      </c>
      <c r="I111" s="39">
        <f>+'FY23'!I111*(1+MYP!$K$10)</f>
        <v>0</v>
      </c>
      <c r="J111" s="39">
        <f>+'FY23'!J111*(1+MYP!$K$10)</f>
        <v>0</v>
      </c>
      <c r="K111" s="39">
        <f>+'FY23'!K111*(1+MYP!$K$10)</f>
        <v>0</v>
      </c>
      <c r="L111" s="39">
        <f>+'FY23'!L111*(1+MYP!$K$10)</f>
        <v>0</v>
      </c>
      <c r="M111" s="39">
        <f>+'FY23'!M111*(1+MYP!$K$10)</f>
        <v>0</v>
      </c>
      <c r="N111" s="39">
        <f>+'FY23'!N111*(1+MYP!$K$10)</f>
        <v>0</v>
      </c>
      <c r="O111" s="39">
        <f>+'FY23'!O111*(1+MYP!$K$10)</f>
        <v>0</v>
      </c>
      <c r="P111" s="39">
        <f>+'FY23'!P111*(1+MYP!$K$10)</f>
        <v>0</v>
      </c>
      <c r="Q111" s="100"/>
      <c r="R111" s="41"/>
      <c r="S111" s="62">
        <f t="shared" ref="S111:S112" si="42">SUM(E111:Q111)</f>
        <v>0</v>
      </c>
      <c r="T111" s="41"/>
      <c r="U111" s="41">
        <f>'FY23'!S111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177</v>
      </c>
      <c r="E112" s="39">
        <f>+'FY23'!E112*(1+MYP!$K$10)</f>
        <v>0</v>
      </c>
      <c r="F112" s="39">
        <f>+'FY23'!F112*(1+MYP!$K$10)</f>
        <v>0</v>
      </c>
      <c r="G112" s="39">
        <f>+'FY23'!G112*(1+MYP!$K$10)</f>
        <v>0</v>
      </c>
      <c r="H112" s="39">
        <f>+'FY23'!H112*(1+MYP!$K$10)</f>
        <v>0</v>
      </c>
      <c r="I112" s="39">
        <f>+'FY23'!I112*(1+MYP!$K$10)</f>
        <v>0</v>
      </c>
      <c r="J112" s="39">
        <f>+'FY23'!J112*(1+MYP!$K$10)</f>
        <v>0</v>
      </c>
      <c r="K112" s="39">
        <f>+'FY23'!K112*(1+MYP!$K$10)</f>
        <v>0</v>
      </c>
      <c r="L112" s="39">
        <f>+'FY23'!L112*(1+MYP!$K$10)</f>
        <v>0</v>
      </c>
      <c r="M112" s="39">
        <f>+'FY23'!M112*(1+MYP!$K$10)</f>
        <v>0</v>
      </c>
      <c r="N112" s="39">
        <f>+'FY23'!N112*(1+MYP!$K$10)</f>
        <v>0</v>
      </c>
      <c r="O112" s="39">
        <f>+'FY23'!O112*(1+MYP!$K$10)</f>
        <v>0</v>
      </c>
      <c r="P112" s="39">
        <f>+'FY23'!P112*(1+MYP!$K$10)</f>
        <v>0</v>
      </c>
      <c r="Q112" s="100"/>
      <c r="R112" s="41"/>
      <c r="S112" s="62">
        <f t="shared" si="42"/>
        <v>0</v>
      </c>
      <c r="T112" s="41"/>
      <c r="U112" s="41">
        <f>'FY23'!S112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110215.93785868362</v>
      </c>
      <c r="F115" s="43">
        <f t="shared" si="46"/>
        <v>53632.596878683609</v>
      </c>
      <c r="G115" s="43">
        <f t="shared" si="46"/>
        <v>55675.523624047593</v>
      </c>
      <c r="H115" s="43">
        <f t="shared" si="46"/>
        <v>234966.46477288357</v>
      </c>
      <c r="I115" s="43">
        <f t="shared" si="46"/>
        <v>198894.51434424758</v>
      </c>
      <c r="J115" s="43">
        <f t="shared" si="46"/>
        <v>40596.468939883598</v>
      </c>
      <c r="K115" s="43">
        <f t="shared" si="46"/>
        <v>53476.196574247588</v>
      </c>
      <c r="L115" s="43">
        <f t="shared" si="46"/>
        <v>52054.182629683593</v>
      </c>
      <c r="M115" s="43">
        <f t="shared" si="46"/>
        <v>213102.46760004759</v>
      </c>
      <c r="N115" s="43">
        <f t="shared" si="46"/>
        <v>227217.36623304759</v>
      </c>
      <c r="O115" s="43">
        <f t="shared" si="46"/>
        <v>72621.41198956361</v>
      </c>
      <c r="P115" s="43">
        <f t="shared" si="46"/>
        <v>54049.105100563575</v>
      </c>
      <c r="Q115" s="47"/>
      <c r="R115" s="48"/>
      <c r="S115" s="60">
        <f>SUBTOTAL(9,S30:S114)</f>
        <v>1366502.2365455832</v>
      </c>
      <c r="T115" s="48"/>
      <c r="U115" s="43">
        <f>SUBTOTAL(9,U30:U114)</f>
        <v>1374146.5971035133</v>
      </c>
      <c r="V115" s="43">
        <f>SUBTOTAL(9,V30:V114)</f>
        <v>7644.3605579297018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2">
        <f t="shared" ref="E117:P117" si="47">E27-E115</f>
        <v>16105.425141316358</v>
      </c>
      <c r="F117" s="182">
        <f t="shared" si="47"/>
        <v>72688.766121316381</v>
      </c>
      <c r="G117" s="182">
        <f t="shared" si="47"/>
        <v>70645.83937595239</v>
      </c>
      <c r="H117" s="182">
        <f t="shared" si="47"/>
        <v>-108645.10177288359</v>
      </c>
      <c r="I117" s="182">
        <f t="shared" si="47"/>
        <v>-72573.151344247599</v>
      </c>
      <c r="J117" s="182">
        <f t="shared" si="47"/>
        <v>85724.894060116378</v>
      </c>
      <c r="K117" s="182">
        <f t="shared" si="47"/>
        <v>72845.166425752395</v>
      </c>
      <c r="L117" s="182">
        <f t="shared" si="47"/>
        <v>74267.18037031639</v>
      </c>
      <c r="M117" s="182">
        <f t="shared" si="47"/>
        <v>-86781.104600047605</v>
      </c>
      <c r="N117" s="182">
        <f t="shared" si="47"/>
        <v>-100896.00323304761</v>
      </c>
      <c r="O117" s="182">
        <f t="shared" si="47"/>
        <v>53699.951010436373</v>
      </c>
      <c r="P117" s="182">
        <f t="shared" si="47"/>
        <v>72267.205044916453</v>
      </c>
      <c r="Q117" s="191"/>
      <c r="R117" s="192"/>
      <c r="S117" s="193">
        <f>S27-S115</f>
        <v>149349.06659989664</v>
      </c>
      <c r="T117" s="192"/>
      <c r="U117" s="182">
        <f>U27-U115</f>
        <v>97553.697212486528</v>
      </c>
      <c r="V117" s="182">
        <f>V27+V115</f>
        <v>51795.369387409613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16105.425141316358</v>
      </c>
      <c r="F120" s="39">
        <f t="shared" ref="F120:P120" si="48">F117</f>
        <v>72688.766121316381</v>
      </c>
      <c r="G120" s="39">
        <f t="shared" si="48"/>
        <v>70645.83937595239</v>
      </c>
      <c r="H120" s="39">
        <f t="shared" si="48"/>
        <v>-108645.10177288359</v>
      </c>
      <c r="I120" s="39">
        <f t="shared" si="48"/>
        <v>-72573.151344247599</v>
      </c>
      <c r="J120" s="39">
        <f t="shared" si="48"/>
        <v>85724.894060116378</v>
      </c>
      <c r="K120" s="39">
        <f t="shared" si="48"/>
        <v>72845.166425752395</v>
      </c>
      <c r="L120" s="39">
        <f t="shared" si="48"/>
        <v>74267.18037031639</v>
      </c>
      <c r="M120" s="39">
        <f t="shared" si="48"/>
        <v>-86781.104600047605</v>
      </c>
      <c r="N120" s="39">
        <f t="shared" si="48"/>
        <v>-100896.00323304761</v>
      </c>
      <c r="O120" s="39">
        <f t="shared" si="48"/>
        <v>53699.951010436373</v>
      </c>
      <c r="P120" s="39">
        <f t="shared" si="48"/>
        <v>72267.205044916453</v>
      </c>
      <c r="Q120" s="44"/>
      <c r="R120" s="41"/>
      <c r="S120" s="59">
        <f t="shared" ref="S120:S136" si="49">SUM(E120:Q120)</f>
        <v>149349.06659989673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-'FY23'!Q123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-'FY23'!Q128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16105.425141316358</v>
      </c>
      <c r="F138" s="39">
        <f>SUM(F120:F136)</f>
        <v>72688.766121316381</v>
      </c>
      <c r="G138" s="39">
        <f t="shared" ref="G138:P138" si="51">SUM(G120:G136)</f>
        <v>70645.83937595239</v>
      </c>
      <c r="H138" s="39">
        <f t="shared" si="51"/>
        <v>-108645.10177288359</v>
      </c>
      <c r="I138" s="39">
        <f t="shared" si="51"/>
        <v>-72573.151344247599</v>
      </c>
      <c r="J138" s="39">
        <f t="shared" si="51"/>
        <v>85724.894060116378</v>
      </c>
      <c r="K138" s="39">
        <f t="shared" si="51"/>
        <v>72845.166425752395</v>
      </c>
      <c r="L138" s="39">
        <f t="shared" si="51"/>
        <v>74267.18037031639</v>
      </c>
      <c r="M138" s="39">
        <f t="shared" si="51"/>
        <v>-86781.104600047605</v>
      </c>
      <c r="N138" s="39">
        <f t="shared" si="51"/>
        <v>-100896.00323304761</v>
      </c>
      <c r="O138" s="39">
        <f t="shared" si="51"/>
        <v>53699.951010436373</v>
      </c>
      <c r="P138" s="39">
        <f t="shared" si="51"/>
        <v>72267.205044916453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'FY23'!P141</f>
        <v>280605.75736183685</v>
      </c>
      <c r="F139" s="42">
        <f>E141</f>
        <v>296711.18250315322</v>
      </c>
      <c r="G139" s="42">
        <f t="shared" ref="G139:P139" si="52">F141</f>
        <v>369399.94862446957</v>
      </c>
      <c r="H139" s="42">
        <f t="shared" si="52"/>
        <v>440045.78800042195</v>
      </c>
      <c r="I139" s="42">
        <f t="shared" si="52"/>
        <v>331400.68622753839</v>
      </c>
      <c r="J139" s="42">
        <f t="shared" si="52"/>
        <v>258827.53488329079</v>
      </c>
      <c r="K139" s="42">
        <f t="shared" si="52"/>
        <v>344552.42894340714</v>
      </c>
      <c r="L139" s="42">
        <f t="shared" si="52"/>
        <v>417397.59536915954</v>
      </c>
      <c r="M139" s="42">
        <f t="shared" si="52"/>
        <v>491664.77573947591</v>
      </c>
      <c r="N139" s="42">
        <f t="shared" si="52"/>
        <v>404883.67113942828</v>
      </c>
      <c r="O139" s="42">
        <f t="shared" si="52"/>
        <v>303987.66790638067</v>
      </c>
      <c r="P139" s="42">
        <f t="shared" si="52"/>
        <v>357687.61891681701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5">
        <f>SUM(E138:E140)</f>
        <v>296711.18250315322</v>
      </c>
      <c r="F141" s="195">
        <f>SUM(F138:F140)</f>
        <v>369399.94862446957</v>
      </c>
      <c r="G141" s="195">
        <f t="shared" ref="G141:P141" si="53">SUM(G138:G140)</f>
        <v>440045.78800042195</v>
      </c>
      <c r="H141" s="195">
        <f t="shared" si="53"/>
        <v>331400.68622753839</v>
      </c>
      <c r="I141" s="195">
        <f t="shared" si="53"/>
        <v>258827.53488329079</v>
      </c>
      <c r="J141" s="195">
        <f t="shared" si="53"/>
        <v>344552.42894340714</v>
      </c>
      <c r="K141" s="195">
        <f t="shared" si="53"/>
        <v>417397.59536915954</v>
      </c>
      <c r="L141" s="195">
        <f t="shared" si="53"/>
        <v>491664.77573947591</v>
      </c>
      <c r="M141" s="195">
        <f t="shared" si="53"/>
        <v>404883.67113942828</v>
      </c>
      <c r="N141" s="195">
        <f t="shared" si="53"/>
        <v>303987.66790638067</v>
      </c>
      <c r="O141" s="195">
        <f t="shared" si="53"/>
        <v>357687.61891681701</v>
      </c>
      <c r="P141" s="195">
        <f t="shared" si="53"/>
        <v>429954.82396173349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IlqjYBHV9nmI6rEsg4CvimVJYC8+CBQKpipIsYAmcKHCgOGBva4felF/EuG7EMcCC8mK9er9D0gbWGZVaheYvQ==" saltValue="jGQ7gMkhIcePw3em7YUtuw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W277"/>
  <sheetViews>
    <sheetView workbookViewId="0">
      <selection activeCell="A22" sqref="A1:XFD1048576"/>
    </sheetView>
  </sheetViews>
  <sheetFormatPr defaultColWidth="8.85546875" defaultRowHeight="15" x14ac:dyDescent="0.25"/>
  <cols>
    <col min="1" max="2" width="3.140625" style="14" customWidth="1"/>
    <col min="3" max="3" width="7.85546875" style="20" customWidth="1"/>
    <col min="4" max="4" width="31.85546875" style="14" customWidth="1"/>
    <col min="5" max="5" width="9.140625" style="14" bestFit="1" customWidth="1"/>
    <col min="6" max="7" width="9.85546875" style="14" bestFit="1" customWidth="1"/>
    <col min="8" max="9" width="9.140625" style="14" bestFit="1" customWidth="1"/>
    <col min="10" max="12" width="9.85546875" style="14" bestFit="1" customWidth="1"/>
    <col min="13" max="16" width="9.140625" style="14" bestFit="1" customWidth="1"/>
    <col min="17" max="17" width="8.85546875" style="22"/>
    <col min="18" max="18" width="2.140625" style="28" customWidth="1"/>
    <col min="19" max="19" width="8.85546875" style="21"/>
    <col min="20" max="20" width="2.140625" style="28" customWidth="1"/>
    <col min="21" max="16384" width="8.85546875" style="14"/>
  </cols>
  <sheetData>
    <row r="1" spans="1:23" s="1" customFormat="1" ht="21" x14ac:dyDescent="0.35">
      <c r="A1" s="11" t="str">
        <f>'Rev &amp; Enroll'!$F$5</f>
        <v>Nevada State High School (Henderson)</v>
      </c>
      <c r="B1" s="11"/>
      <c r="C1" s="17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4"/>
      <c r="R1" s="24"/>
      <c r="S1" s="3"/>
      <c r="T1" s="29"/>
      <c r="U1" s="2"/>
      <c r="V1" s="2"/>
    </row>
    <row r="2" spans="1:23" s="1" customFormat="1" x14ac:dyDescent="0.25">
      <c r="A2" s="12" t="str">
        <f>CONCATENATE("Monthly Cash Flow/Budget"," ",MYP!M4)</f>
        <v>Monthly Cash Flow/Budget FY25</v>
      </c>
      <c r="B2" s="12"/>
      <c r="C2" s="17"/>
      <c r="D2" s="13"/>
      <c r="E2" s="2"/>
      <c r="F2" s="2"/>
      <c r="G2" s="2"/>
      <c r="H2" s="2"/>
      <c r="I2" s="2"/>
      <c r="J2" s="2"/>
      <c r="M2" s="2"/>
      <c r="N2" s="2"/>
      <c r="O2" s="2"/>
      <c r="Q2" s="8"/>
      <c r="R2" s="25"/>
      <c r="S2" s="2"/>
      <c r="T2" s="29"/>
      <c r="U2" s="4"/>
      <c r="V2" s="4"/>
    </row>
    <row r="3" spans="1:23" s="6" customFormat="1" ht="13.5" customHeight="1" x14ac:dyDescent="0.2">
      <c r="A3" s="5" t="str">
        <f>'FY21'!A3</f>
        <v>Board Approved: Proposed: 4/16/2020</v>
      </c>
      <c r="B3" s="5"/>
      <c r="C3" s="1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8"/>
      <c r="R3" s="25"/>
      <c r="S3" s="7"/>
      <c r="T3" s="31"/>
      <c r="U3" s="7"/>
      <c r="V3" s="7"/>
    </row>
    <row r="4" spans="1:23" s="9" customFormat="1" ht="29.45" customHeight="1" x14ac:dyDescent="0.25">
      <c r="C4" s="19"/>
      <c r="D4" s="10"/>
      <c r="E4" s="33">
        <f>'FY21'!E4+(365*4)</f>
        <v>45473</v>
      </c>
      <c r="F4" s="33">
        <f t="shared" ref="F4:P4" si="0">E4+31</f>
        <v>45504</v>
      </c>
      <c r="G4" s="33">
        <f t="shared" si="0"/>
        <v>45535</v>
      </c>
      <c r="H4" s="33">
        <f t="shared" si="0"/>
        <v>45566</v>
      </c>
      <c r="I4" s="33">
        <f t="shared" si="0"/>
        <v>45597</v>
      </c>
      <c r="J4" s="33">
        <f t="shared" si="0"/>
        <v>45628</v>
      </c>
      <c r="K4" s="33">
        <f t="shared" si="0"/>
        <v>45659</v>
      </c>
      <c r="L4" s="33">
        <f t="shared" si="0"/>
        <v>45690</v>
      </c>
      <c r="M4" s="33">
        <f t="shared" si="0"/>
        <v>45721</v>
      </c>
      <c r="N4" s="33">
        <f t="shared" si="0"/>
        <v>45752</v>
      </c>
      <c r="O4" s="33">
        <f t="shared" si="0"/>
        <v>45783</v>
      </c>
      <c r="P4" s="56">
        <f t="shared" si="0"/>
        <v>45814</v>
      </c>
      <c r="Q4" s="35" t="s">
        <v>54</v>
      </c>
      <c r="R4" s="26"/>
      <c r="S4" s="58" t="s">
        <v>55</v>
      </c>
      <c r="T4" s="32"/>
      <c r="U4" s="33" t="s">
        <v>57</v>
      </c>
      <c r="V4" s="33" t="s">
        <v>56</v>
      </c>
    </row>
    <row r="5" spans="1:23" s="9" customFormat="1" ht="12" x14ac:dyDescent="0.2">
      <c r="C5" s="19"/>
      <c r="D5" s="209" t="s">
        <v>184</v>
      </c>
      <c r="E5" s="328">
        <f>IF(('Rev &amp; Enroll'!$F37*'Rev &amp; Enroll'!$F24)&gt;500000,0.08333,0)</f>
        <v>8.3330000000000001E-2</v>
      </c>
      <c r="F5" s="328">
        <f>IF(('Rev &amp; Enroll'!$F37*'Rev &amp; Enroll'!$F24)&gt;500000,0.08333,0.25)</f>
        <v>8.3330000000000001E-2</v>
      </c>
      <c r="G5" s="328">
        <f>IF(('Rev &amp; Enroll'!$F37*'Rev &amp; Enroll'!$F24)&gt;500000,0.08333,0)</f>
        <v>8.3330000000000001E-2</v>
      </c>
      <c r="H5" s="328">
        <f>IF(('Rev &amp; Enroll'!$F37*'Rev &amp; Enroll'!$F24)&gt;500000,0.08333,0)</f>
        <v>8.3330000000000001E-2</v>
      </c>
      <c r="I5" s="328">
        <f>IF(('Rev &amp; Enroll'!$F37*'Rev &amp; Enroll'!$F24)&gt;500000,0.08333,0.25)</f>
        <v>8.3330000000000001E-2</v>
      </c>
      <c r="J5" s="328">
        <f>IF(('Rev &amp; Enroll'!$F37*'Rev &amp; Enroll'!$F24)&gt;500000,0.08333,0)</f>
        <v>8.3330000000000001E-2</v>
      </c>
      <c r="K5" s="328">
        <f>IF(('Rev &amp; Enroll'!$F37*'Rev &amp; Enroll'!$F24)&gt;500000,0.08333,0)</f>
        <v>8.3330000000000001E-2</v>
      </c>
      <c r="L5" s="328">
        <f>IF(('Rev &amp; Enroll'!$F37*'Rev &amp; Enroll'!$F24)&gt;500000,0.08333,0.25)</f>
        <v>8.3330000000000001E-2</v>
      </c>
      <c r="M5" s="328">
        <f>IF(('Rev &amp; Enroll'!$F37*'Rev &amp; Enroll'!$F24)&gt;500000,0.08333,0)</f>
        <v>8.3330000000000001E-2</v>
      </c>
      <c r="N5" s="328">
        <f>IF(('Rev &amp; Enroll'!$F37*'Rev &amp; Enroll'!$F24)&gt;500000,0.08333,0)</f>
        <v>8.3330000000000001E-2</v>
      </c>
      <c r="O5" s="328">
        <f>IF(('Rev &amp; Enroll'!$F37*'Rev &amp; Enroll'!$F24)&gt;500000,0.08333,0.25)</f>
        <v>8.3330000000000001E-2</v>
      </c>
      <c r="P5" s="328">
        <f>IF(('Rev &amp; Enroll'!$F37*'Rev &amp; Enroll'!$F24)&gt;500000,0.08333,0)</f>
        <v>8.3330000000000001E-2</v>
      </c>
      <c r="Q5" s="223">
        <f>1-SUM(E5:P5)</f>
        <v>3.9999999999928981E-5</v>
      </c>
      <c r="R5" s="41"/>
      <c r="S5" s="59"/>
      <c r="T5" s="41"/>
      <c r="U5" s="39"/>
      <c r="V5" s="39"/>
      <c r="W5" s="32"/>
    </row>
    <row r="6" spans="1:23" s="37" customFormat="1" ht="11.45" customHeight="1" x14ac:dyDescent="0.2">
      <c r="A6" s="45" t="s">
        <v>58</v>
      </c>
      <c r="C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6"/>
      <c r="R6" s="41"/>
      <c r="S6" s="59"/>
      <c r="T6" s="41"/>
      <c r="U6" s="39"/>
      <c r="V6" s="39"/>
      <c r="W6" s="39"/>
    </row>
    <row r="7" spans="1:23" s="37" customFormat="1" ht="12" x14ac:dyDescent="0.2">
      <c r="A7" s="45"/>
      <c r="C7" s="49" t="s">
        <v>171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6"/>
      <c r="R7" s="41"/>
      <c r="S7" s="59"/>
      <c r="T7" s="41"/>
      <c r="U7" s="39"/>
      <c r="V7" s="39"/>
      <c r="W7" s="39"/>
    </row>
    <row r="8" spans="1:23" s="37" customFormat="1" ht="12" x14ac:dyDescent="0.2">
      <c r="A8" s="45"/>
      <c r="C8" s="200">
        <v>1110</v>
      </c>
      <c r="D8" s="37" t="s">
        <v>0</v>
      </c>
      <c r="E8" s="181">
        <f>+'FY24'!E8*(1+MYP!$M$8)</f>
        <v>34349.305026959999</v>
      </c>
      <c r="F8" s="181">
        <f>+'FY24'!F8*(1+MYP!$M$8)</f>
        <v>34349.305026959999</v>
      </c>
      <c r="G8" s="181">
        <f>+'FY24'!G8*(1+MYP!$M$8)</f>
        <v>34349.305026959999</v>
      </c>
      <c r="H8" s="181">
        <f>+'FY24'!H8*(1+MYP!$M$8)</f>
        <v>34349.305026959999</v>
      </c>
      <c r="I8" s="181">
        <f>+'FY24'!I8*(1+MYP!$M$8)</f>
        <v>34349.305026959999</v>
      </c>
      <c r="J8" s="181">
        <f>+'FY24'!J8*(1+MYP!$M$8)</f>
        <v>34349.305026959999</v>
      </c>
      <c r="K8" s="181">
        <f>+'FY24'!K8*(1+MYP!$M$8)</f>
        <v>34349.305026959999</v>
      </c>
      <c r="L8" s="181">
        <f>+'FY24'!L8*(1+MYP!$M$8)</f>
        <v>34349.305026959999</v>
      </c>
      <c r="M8" s="181">
        <f>+'FY24'!M8*(1+MYP!$M$8)</f>
        <v>34349.305026959999</v>
      </c>
      <c r="N8" s="181">
        <f>+'FY24'!N8*(1+MYP!$M$8)</f>
        <v>34349.305026959999</v>
      </c>
      <c r="O8" s="181">
        <f>+'FY24'!O8*(1+MYP!$M$8)</f>
        <v>34349.305026959999</v>
      </c>
      <c r="P8" s="181">
        <f>+'FY24'!P8*(1+MYP!$M$8)</f>
        <v>34347.931054758927</v>
      </c>
      <c r="Q8" s="186"/>
      <c r="R8" s="187"/>
      <c r="S8" s="188">
        <f>SUM(E8:Q8)</f>
        <v>412190.28635131882</v>
      </c>
      <c r="T8" s="187"/>
      <c r="U8" s="181">
        <f>'FY24'!S8</f>
        <v>400184.74403040658</v>
      </c>
      <c r="V8" s="181">
        <f t="shared" ref="V8:V20" si="1">S8-U8</f>
        <v>12005.542320912238</v>
      </c>
      <c r="W8" s="39"/>
    </row>
    <row r="9" spans="1:23" s="37" customFormat="1" ht="12" x14ac:dyDescent="0.2">
      <c r="A9" s="45"/>
      <c r="C9" s="200">
        <v>1120</v>
      </c>
      <c r="D9" s="37" t="s">
        <v>1</v>
      </c>
      <c r="E9" s="363">
        <f>+'FY24'!E9*(1+MYP!$M$8)</f>
        <v>37732.191128100007</v>
      </c>
      <c r="F9" s="363">
        <f>+'FY24'!F9*(1+MYP!$M$8)</f>
        <v>37732.191128100007</v>
      </c>
      <c r="G9" s="363">
        <f>+'FY24'!G9*(1+MYP!$M$8)</f>
        <v>37732.191128100007</v>
      </c>
      <c r="H9" s="363">
        <f>+'FY24'!H9*(1+MYP!$M$8)</f>
        <v>37732.191128100007</v>
      </c>
      <c r="I9" s="363">
        <f>+'FY24'!I9*(1+MYP!$M$8)</f>
        <v>37732.191128100007</v>
      </c>
      <c r="J9" s="363">
        <f>+'FY24'!J9*(1+MYP!$M$8)</f>
        <v>37732.191128100007</v>
      </c>
      <c r="K9" s="363">
        <f>+'FY24'!K9*(1+MYP!$M$8)</f>
        <v>37732.191128100007</v>
      </c>
      <c r="L9" s="363">
        <f>+'FY24'!L9*(1+MYP!$M$8)</f>
        <v>37732.191128100007</v>
      </c>
      <c r="M9" s="363">
        <f>+'FY24'!M9*(1+MYP!$M$8)</f>
        <v>37732.191128100007</v>
      </c>
      <c r="N9" s="363">
        <f>+'FY24'!N9*(1+MYP!$M$8)</f>
        <v>37732.191128100007</v>
      </c>
      <c r="O9" s="363">
        <f>+'FY24'!O9*(1+MYP!$M$8)</f>
        <v>37732.191128100007</v>
      </c>
      <c r="P9" s="363">
        <f>+'FY24'!P9*(1+MYP!$M$8)</f>
        <v>37730.681840454876</v>
      </c>
      <c r="Q9" s="36"/>
      <c r="R9" s="41"/>
      <c r="S9" s="59">
        <f t="shared" ref="S9:S20" si="2">SUM(E9:Q9)</f>
        <v>452784.78424955503</v>
      </c>
      <c r="T9" s="41"/>
      <c r="U9" s="39">
        <f>'FY24'!S9</f>
        <v>439596.87791218929</v>
      </c>
      <c r="V9" s="39">
        <f t="shared" si="1"/>
        <v>13187.906337365741</v>
      </c>
      <c r="W9" s="39"/>
    </row>
    <row r="10" spans="1:23" s="37" customFormat="1" ht="12" x14ac:dyDescent="0.2">
      <c r="A10" s="45"/>
      <c r="C10" s="200">
        <v>1191</v>
      </c>
      <c r="D10" s="37" t="s">
        <v>2</v>
      </c>
      <c r="E10" s="363">
        <f>+'FY24'!E10*(1+MYP!$M$8)</f>
        <v>130.11100389000001</v>
      </c>
      <c r="F10" s="363">
        <f>+'FY24'!F10*(1+MYP!$M$8)</f>
        <v>130.11100389000001</v>
      </c>
      <c r="G10" s="363">
        <f>+'FY24'!G10*(1+MYP!$M$8)</f>
        <v>130.11100389000001</v>
      </c>
      <c r="H10" s="363">
        <f>+'FY24'!H10*(1+MYP!$M$8)</f>
        <v>130.11100389000001</v>
      </c>
      <c r="I10" s="363">
        <f>+'FY24'!I10*(1+MYP!$M$8)</f>
        <v>130.11100389000001</v>
      </c>
      <c r="J10" s="363">
        <f>+'FY24'!J10*(1+MYP!$M$8)</f>
        <v>130.11100389000001</v>
      </c>
      <c r="K10" s="363">
        <f>+'FY24'!K10*(1+MYP!$M$8)</f>
        <v>130.11100389000001</v>
      </c>
      <c r="L10" s="363">
        <f>+'FY24'!L10*(1+MYP!$M$8)</f>
        <v>130.11100389000001</v>
      </c>
      <c r="M10" s="363">
        <f>+'FY24'!M10*(1+MYP!$M$8)</f>
        <v>130.11100389000001</v>
      </c>
      <c r="N10" s="363">
        <f>+'FY24'!N10*(1+MYP!$M$8)</f>
        <v>130.11100389000001</v>
      </c>
      <c r="O10" s="363">
        <f>+'FY24'!O10*(1+MYP!$M$8)</f>
        <v>130.11100389000001</v>
      </c>
      <c r="P10" s="363">
        <f>+'FY24'!P10*(1+MYP!$M$8)</f>
        <v>130.10579944984443</v>
      </c>
      <c r="Q10" s="36"/>
      <c r="R10" s="41"/>
      <c r="S10" s="59">
        <f t="shared" si="2"/>
        <v>1561.3268422398448</v>
      </c>
      <c r="T10" s="41"/>
      <c r="U10" s="39">
        <f>'FY24'!S10</f>
        <v>1515.85130314548</v>
      </c>
      <c r="V10" s="39">
        <f t="shared" si="1"/>
        <v>45.475539094364876</v>
      </c>
      <c r="W10" s="39"/>
    </row>
    <row r="11" spans="1:23" s="37" customFormat="1" ht="12" x14ac:dyDescent="0.2">
      <c r="A11" s="45"/>
      <c r="C11" s="200">
        <v>1192</v>
      </c>
      <c r="D11" s="37" t="s">
        <v>3</v>
      </c>
      <c r="E11" s="363">
        <f>+'FY24'!E11*(1+MYP!$M$8)</f>
        <v>4033.4411205900001</v>
      </c>
      <c r="F11" s="363">
        <f>+'FY24'!F11*(1+MYP!$M$8)</f>
        <v>4033.4411205900001</v>
      </c>
      <c r="G11" s="363">
        <f>+'FY24'!G11*(1+MYP!$M$8)</f>
        <v>4033.4411205900001</v>
      </c>
      <c r="H11" s="363">
        <f>+'FY24'!H11*(1+MYP!$M$8)</f>
        <v>4033.4411205900001</v>
      </c>
      <c r="I11" s="363">
        <f>+'FY24'!I11*(1+MYP!$M$8)</f>
        <v>4033.4411205900001</v>
      </c>
      <c r="J11" s="363">
        <f>+'FY24'!J11*(1+MYP!$M$8)</f>
        <v>4033.4411205900001</v>
      </c>
      <c r="K11" s="363">
        <f>+'FY24'!K11*(1+MYP!$M$8)</f>
        <v>4033.4411205900001</v>
      </c>
      <c r="L11" s="363">
        <f>+'FY24'!L11*(1+MYP!$M$8)</f>
        <v>4033.4411205900001</v>
      </c>
      <c r="M11" s="363">
        <f>+'FY24'!M11*(1+MYP!$M$8)</f>
        <v>4033.4411205900001</v>
      </c>
      <c r="N11" s="363">
        <f>+'FY24'!N11*(1+MYP!$M$8)</f>
        <v>4033.4411205900001</v>
      </c>
      <c r="O11" s="363">
        <f>+'FY24'!O11*(1+MYP!$M$8)</f>
        <v>4033.4411205900001</v>
      </c>
      <c r="P11" s="363">
        <f>+'FY24'!P11*(1+MYP!$M$8)</f>
        <v>4033.279782945177</v>
      </c>
      <c r="Q11" s="98"/>
      <c r="R11" s="41"/>
      <c r="S11" s="59">
        <f t="shared" si="2"/>
        <v>48401.132109435181</v>
      </c>
      <c r="T11" s="41"/>
      <c r="U11" s="39">
        <f>'FY24'!S11</f>
        <v>46991.39039750988</v>
      </c>
      <c r="V11" s="39">
        <f t="shared" si="1"/>
        <v>1409.7417119253005</v>
      </c>
      <c r="W11" s="39"/>
    </row>
    <row r="12" spans="1:23" s="37" customFormat="1" ht="12" x14ac:dyDescent="0.2">
      <c r="A12" s="45"/>
      <c r="C12" s="200">
        <v>3110</v>
      </c>
      <c r="D12" s="37" t="s">
        <v>73</v>
      </c>
      <c r="E12" s="363">
        <f>+'FY24'!E12*(1+MYP!$M$8)</f>
        <v>53865.955610459998</v>
      </c>
      <c r="F12" s="363">
        <f>+'FY24'!F12*(1+MYP!$M$8)</f>
        <v>53865.955610459998</v>
      </c>
      <c r="G12" s="363">
        <f>+'FY24'!G12*(1+MYP!$M$8)</f>
        <v>53865.955610459998</v>
      </c>
      <c r="H12" s="363">
        <f>+'FY24'!H12*(1+MYP!$M$8)</f>
        <v>53865.955610459998</v>
      </c>
      <c r="I12" s="363">
        <f>+'FY24'!I12*(1+MYP!$M$8)</f>
        <v>53865.955610459998</v>
      </c>
      <c r="J12" s="363">
        <f>+'FY24'!J12*(1+MYP!$M$8)</f>
        <v>53865.955610459998</v>
      </c>
      <c r="K12" s="363">
        <f>+'FY24'!K12*(1+MYP!$M$8)</f>
        <v>53865.955610459998</v>
      </c>
      <c r="L12" s="363">
        <f>+'FY24'!L12*(1+MYP!$M$8)</f>
        <v>53865.955610459998</v>
      </c>
      <c r="M12" s="363">
        <f>+'FY24'!M12*(1+MYP!$M$8)</f>
        <v>53865.955610459998</v>
      </c>
      <c r="N12" s="363">
        <f>+'FY24'!N12*(1+MYP!$M$8)</f>
        <v>53865.955610459998</v>
      </c>
      <c r="O12" s="363">
        <f>+'FY24'!O12*(1+MYP!$M$8)</f>
        <v>53865.955610459998</v>
      </c>
      <c r="P12" s="363">
        <f>+'FY24'!P12*(1+MYP!$M$8)</f>
        <v>53863.800972235586</v>
      </c>
      <c r="Q12" s="98"/>
      <c r="R12" s="41"/>
      <c r="S12" s="59">
        <f t="shared" si="2"/>
        <v>646389.31268729572</v>
      </c>
      <c r="T12" s="41"/>
      <c r="U12" s="39">
        <f>'FY24'!S12</f>
        <v>627562.43950222863</v>
      </c>
      <c r="V12" s="39">
        <f t="shared" si="1"/>
        <v>18826.873185067088</v>
      </c>
      <c r="W12" s="39"/>
    </row>
    <row r="13" spans="1:23" s="37" customFormat="1" ht="12" x14ac:dyDescent="0.2">
      <c r="A13" s="45"/>
      <c r="C13" s="38"/>
      <c r="E13" s="50">
        <f>SUBTOTAL(9,E8:E12)</f>
        <v>130111.00388999999</v>
      </c>
      <c r="F13" s="50">
        <f t="shared" ref="F13:S13" si="3">SUBTOTAL(9,F8:F12)</f>
        <v>130111.00388999999</v>
      </c>
      <c r="G13" s="50">
        <f t="shared" si="3"/>
        <v>130111.00388999999</v>
      </c>
      <c r="H13" s="50">
        <f t="shared" si="3"/>
        <v>130111.00388999999</v>
      </c>
      <c r="I13" s="50">
        <f t="shared" si="3"/>
        <v>130111.00388999999</v>
      </c>
      <c r="J13" s="50">
        <f t="shared" si="3"/>
        <v>130111.00388999999</v>
      </c>
      <c r="K13" s="50">
        <f t="shared" si="3"/>
        <v>130111.00388999999</v>
      </c>
      <c r="L13" s="50">
        <f t="shared" si="3"/>
        <v>130111.00388999999</v>
      </c>
      <c r="M13" s="50">
        <f t="shared" si="3"/>
        <v>130111.00388999999</v>
      </c>
      <c r="N13" s="50">
        <f t="shared" si="3"/>
        <v>130111.00388999999</v>
      </c>
      <c r="O13" s="50">
        <f t="shared" si="3"/>
        <v>130111.00388999999</v>
      </c>
      <c r="P13" s="50">
        <f t="shared" si="3"/>
        <v>130105.7994498444</v>
      </c>
      <c r="Q13" s="99"/>
      <c r="R13" s="41"/>
      <c r="S13" s="61">
        <f t="shared" si="3"/>
        <v>1561326.8422398446</v>
      </c>
      <c r="T13" s="41"/>
      <c r="U13" s="50">
        <f t="shared" ref="U13" si="4">SUBTOTAL(9,U8:U12)</f>
        <v>1515851.3031454799</v>
      </c>
      <c r="V13" s="50">
        <f t="shared" ref="V13" si="5">SUBTOTAL(9,V8:V12)</f>
        <v>45475.539094364736</v>
      </c>
      <c r="W13" s="39"/>
    </row>
    <row r="14" spans="1:23" s="37" customFormat="1" ht="12" x14ac:dyDescent="0.2">
      <c r="A14" s="45"/>
      <c r="C14" s="49" t="s">
        <v>170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98"/>
      <c r="R14" s="41"/>
      <c r="S14" s="59"/>
      <c r="T14" s="41"/>
      <c r="U14" s="39"/>
      <c r="V14" s="39"/>
      <c r="W14" s="39"/>
    </row>
    <row r="15" spans="1:23" s="37" customFormat="1" ht="12" x14ac:dyDescent="0.2">
      <c r="A15" s="45"/>
      <c r="C15" s="200">
        <v>3115</v>
      </c>
      <c r="D15" s="37" t="s">
        <v>5</v>
      </c>
      <c r="E15" s="363">
        <f>+'FY24'!E15*(1+MYP!$M$8)</f>
        <v>0</v>
      </c>
      <c r="F15" s="363">
        <f>+'FY24'!F15*(1+MYP!$M$8)</f>
        <v>0</v>
      </c>
      <c r="G15" s="363">
        <f>+'FY24'!G15*(1+MYP!$M$8)</f>
        <v>0</v>
      </c>
      <c r="H15" s="363">
        <f>+'FY24'!H15*(1+MYP!$M$8)</f>
        <v>0</v>
      </c>
      <c r="I15" s="363">
        <f>+'FY24'!I15*(1+MYP!$M$8)</f>
        <v>0</v>
      </c>
      <c r="J15" s="363">
        <f>+'FY24'!J15*(1+MYP!$M$8)</f>
        <v>0</v>
      </c>
      <c r="K15" s="363">
        <f>+'FY24'!K15*(1+MYP!$M$8)</f>
        <v>0</v>
      </c>
      <c r="L15" s="363">
        <f>+'FY24'!L15*(1+MYP!$M$8)</f>
        <v>0</v>
      </c>
      <c r="M15" s="363">
        <f>+'FY24'!M15*(1+MYP!$M$8)</f>
        <v>0</v>
      </c>
      <c r="N15" s="363">
        <f>+'FY24'!N15*(1+MYP!$M$8)</f>
        <v>0</v>
      </c>
      <c r="O15" s="363">
        <f>+'FY24'!O15*(1+MYP!$M$8)</f>
        <v>0</v>
      </c>
      <c r="P15" s="363">
        <f>+'FY24'!P15*(1+MYP!$M$8)</f>
        <v>0</v>
      </c>
      <c r="Q15" s="100"/>
      <c r="R15" s="41"/>
      <c r="S15" s="59">
        <f t="shared" si="2"/>
        <v>0</v>
      </c>
      <c r="T15" s="41"/>
      <c r="U15" s="39">
        <f>'FY24'!S15</f>
        <v>0</v>
      </c>
      <c r="V15" s="39">
        <f t="shared" si="1"/>
        <v>0</v>
      </c>
      <c r="W15" s="39"/>
    </row>
    <row r="16" spans="1:23" s="37" customFormat="1" ht="12" x14ac:dyDescent="0.2">
      <c r="A16" s="45"/>
      <c r="C16" s="200">
        <v>3200</v>
      </c>
      <c r="D16" s="37" t="s">
        <v>6</v>
      </c>
      <c r="E16" s="363">
        <f>+'FY24'!E16*(1+MYP!$M$8)</f>
        <v>0</v>
      </c>
      <c r="F16" s="363">
        <f>+'FY24'!F16*(1+MYP!$M$8)</f>
        <v>0</v>
      </c>
      <c r="G16" s="363">
        <f>+'FY24'!G16*(1+MYP!$M$8)</f>
        <v>0</v>
      </c>
      <c r="H16" s="363">
        <f>+'FY24'!H16*(1+MYP!$M$8)</f>
        <v>0</v>
      </c>
      <c r="I16" s="363">
        <f>+'FY24'!I16*(1+MYP!$M$8)</f>
        <v>0</v>
      </c>
      <c r="J16" s="363">
        <f>+'FY24'!J16*(1+MYP!$M$8)</f>
        <v>0</v>
      </c>
      <c r="K16" s="363">
        <f>+'FY24'!K16*(1+MYP!$M$8)</f>
        <v>0</v>
      </c>
      <c r="L16" s="363">
        <f>+'FY24'!L16*(1+MYP!$M$8)</f>
        <v>0</v>
      </c>
      <c r="M16" s="363">
        <f>+'FY24'!M16*(1+MYP!$M$8)</f>
        <v>0</v>
      </c>
      <c r="N16" s="363">
        <f>+'FY24'!N16*(1+MYP!$M$8)</f>
        <v>0</v>
      </c>
      <c r="O16" s="363">
        <f>+'FY24'!O16*(1+MYP!$M$8)</f>
        <v>0</v>
      </c>
      <c r="P16" s="363">
        <f>+'FY24'!P16*(1+MYP!$M$8)</f>
        <v>0</v>
      </c>
      <c r="Q16" s="100"/>
      <c r="R16" s="41"/>
      <c r="S16" s="59">
        <f t="shared" si="2"/>
        <v>0</v>
      </c>
      <c r="T16" s="41"/>
      <c r="U16" s="39">
        <f>'FY24'!S16</f>
        <v>0</v>
      </c>
      <c r="V16" s="39">
        <f t="shared" si="1"/>
        <v>0</v>
      </c>
      <c r="W16" s="39"/>
    </row>
    <row r="17" spans="1:23" s="37" customFormat="1" ht="12" x14ac:dyDescent="0.2">
      <c r="A17" s="45"/>
      <c r="C17" s="38"/>
      <c r="E17" s="50">
        <f>SUBTOTAL(9,E15:E16)</f>
        <v>0</v>
      </c>
      <c r="F17" s="50">
        <f t="shared" ref="F17:V17" si="6">SUBTOTAL(9,F15:F16)</f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99"/>
      <c r="R17" s="41"/>
      <c r="S17" s="61">
        <f t="shared" si="6"/>
        <v>0</v>
      </c>
      <c r="T17" s="41"/>
      <c r="U17" s="50">
        <f t="shared" si="6"/>
        <v>0</v>
      </c>
      <c r="V17" s="50">
        <f t="shared" si="6"/>
        <v>0</v>
      </c>
      <c r="W17" s="39"/>
    </row>
    <row r="18" spans="1:23" s="37" customFormat="1" ht="12" x14ac:dyDescent="0.2">
      <c r="A18" s="45"/>
      <c r="C18" s="49" t="s">
        <v>148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00"/>
      <c r="R18" s="41"/>
      <c r="S18" s="59"/>
      <c r="T18" s="41"/>
      <c r="U18" s="39"/>
      <c r="V18" s="39"/>
      <c r="W18" s="39"/>
    </row>
    <row r="19" spans="1:23" s="37" customFormat="1" ht="12" x14ac:dyDescent="0.2">
      <c r="A19" s="45"/>
      <c r="C19" s="200">
        <v>4500</v>
      </c>
      <c r="D19" s="37" t="s">
        <v>6</v>
      </c>
      <c r="E19" s="363">
        <f>+'FY24'!E19*(1+MYP!$M$8)</f>
        <v>0</v>
      </c>
      <c r="F19" s="363">
        <f>+'FY24'!F19*(1+MYP!$M$8)</f>
        <v>0</v>
      </c>
      <c r="G19" s="363">
        <f>+'FY24'!G19*(1+MYP!$M$8)</f>
        <v>0</v>
      </c>
      <c r="H19" s="363">
        <f>+'FY24'!H19*(1+MYP!$M$8)</f>
        <v>0</v>
      </c>
      <c r="I19" s="363">
        <f>+'FY24'!I19*(1+MYP!$M$8)</f>
        <v>0</v>
      </c>
      <c r="J19" s="363">
        <f>+'FY24'!J19*(1+MYP!$M$8)</f>
        <v>0</v>
      </c>
      <c r="K19" s="363">
        <f>+'FY24'!K19*(1+MYP!$M$8)</f>
        <v>0</v>
      </c>
      <c r="L19" s="363">
        <f>+'FY24'!L19*(1+MYP!$M$8)</f>
        <v>0</v>
      </c>
      <c r="M19" s="363">
        <f>+'FY24'!M19*(1+MYP!$M$8)</f>
        <v>0</v>
      </c>
      <c r="N19" s="363">
        <f>+'FY24'!N19*(1+MYP!$M$8)</f>
        <v>0</v>
      </c>
      <c r="O19" s="363">
        <f>+'FY24'!O19*(1+MYP!$M$8)</f>
        <v>0</v>
      </c>
      <c r="P19" s="363">
        <f>+'FY24'!P19*(1+MYP!$M$8)</f>
        <v>0</v>
      </c>
      <c r="Q19" s="100"/>
      <c r="R19" s="41"/>
      <c r="S19" s="59">
        <f t="shared" si="2"/>
        <v>0</v>
      </c>
      <c r="T19" s="41"/>
      <c r="U19" s="39">
        <f>'FY24'!S19</f>
        <v>0</v>
      </c>
      <c r="V19" s="39">
        <f t="shared" si="1"/>
        <v>0</v>
      </c>
      <c r="W19" s="39"/>
    </row>
    <row r="20" spans="1:23" s="37" customFormat="1" ht="12" x14ac:dyDescent="0.2">
      <c r="A20" s="45"/>
      <c r="C20" s="200">
        <v>4571</v>
      </c>
      <c r="D20" s="37" t="s">
        <v>7</v>
      </c>
      <c r="E20" s="363">
        <f>+'FY24'!E20*(1+MYP!$M$8)</f>
        <v>0</v>
      </c>
      <c r="F20" s="363">
        <f>+'FY24'!F20*(1+MYP!$M$8)</f>
        <v>0</v>
      </c>
      <c r="G20" s="363">
        <f>+'FY24'!G20*(1+MYP!$M$8)</f>
        <v>0</v>
      </c>
      <c r="H20" s="363">
        <f>+'FY24'!H20*(1+MYP!$M$8)</f>
        <v>0</v>
      </c>
      <c r="I20" s="363">
        <f>+'FY24'!I20*(1+MYP!$M$8)</f>
        <v>0</v>
      </c>
      <c r="J20" s="363">
        <f>+'FY24'!J20*(1+MYP!$M$8)</f>
        <v>0</v>
      </c>
      <c r="K20" s="363">
        <f>+'FY24'!K20*(1+MYP!$M$8)</f>
        <v>0</v>
      </c>
      <c r="L20" s="363">
        <f>+'FY24'!L20*(1+MYP!$M$8)</f>
        <v>0</v>
      </c>
      <c r="M20" s="363">
        <f>+'FY24'!M20*(1+MYP!$M$8)</f>
        <v>0</v>
      </c>
      <c r="N20" s="363">
        <f>+'FY24'!N20*(1+MYP!$M$8)</f>
        <v>0</v>
      </c>
      <c r="O20" s="363">
        <f>+'FY24'!O20*(1+MYP!$M$8)</f>
        <v>0</v>
      </c>
      <c r="P20" s="363">
        <f>+'FY24'!P20*(1+MYP!$M$8)</f>
        <v>0</v>
      </c>
      <c r="Q20" s="100"/>
      <c r="R20" s="41"/>
      <c r="S20" s="62">
        <f t="shared" si="2"/>
        <v>0</v>
      </c>
      <c r="T20" s="41"/>
      <c r="U20" s="41">
        <f>'FY24'!S20</f>
        <v>0</v>
      </c>
      <c r="V20" s="41">
        <f t="shared" si="1"/>
        <v>0</v>
      </c>
      <c r="W20" s="39"/>
    </row>
    <row r="21" spans="1:23" s="37" customFormat="1" ht="12" x14ac:dyDescent="0.2">
      <c r="A21" s="45"/>
      <c r="C21" s="38">
        <v>4703</v>
      </c>
      <c r="D21" s="37" t="s">
        <v>185</v>
      </c>
      <c r="E21" s="363">
        <f>+'FY24'!E21*(1+MYP!$M$8)</f>
        <v>0</v>
      </c>
      <c r="F21" s="363">
        <f>+'FY24'!F21*(1+MYP!$M$8)</f>
        <v>0</v>
      </c>
      <c r="G21" s="363">
        <f>+'FY24'!G21*(1+MYP!$M$8)</f>
        <v>0</v>
      </c>
      <c r="H21" s="363">
        <f>+'FY24'!H21*(1+MYP!$M$8)</f>
        <v>0</v>
      </c>
      <c r="I21" s="363">
        <f>+'FY24'!I21*(1+MYP!$M$8)</f>
        <v>0</v>
      </c>
      <c r="J21" s="363">
        <f>+'FY24'!J21*(1+MYP!$M$8)</f>
        <v>0</v>
      </c>
      <c r="K21" s="363">
        <f>+'FY24'!K21*(1+MYP!$M$8)</f>
        <v>0</v>
      </c>
      <c r="L21" s="363">
        <f>+'FY24'!L21*(1+MYP!$M$8)</f>
        <v>0</v>
      </c>
      <c r="M21" s="363">
        <f>+'FY24'!M21*(1+MYP!$M$8)</f>
        <v>0</v>
      </c>
      <c r="N21" s="363">
        <f>+'FY24'!N21*(1+MYP!$M$8)</f>
        <v>0</v>
      </c>
      <c r="O21" s="363">
        <f>+'FY24'!O21*(1+MYP!$M$8)</f>
        <v>0</v>
      </c>
      <c r="P21" s="363">
        <f>+'FY24'!P21*(1+MYP!$M$8)</f>
        <v>0</v>
      </c>
      <c r="Q21" s="100"/>
      <c r="R21" s="41"/>
      <c r="S21" s="62">
        <f t="shared" ref="S21" si="7">SUM(E21:Q21)</f>
        <v>0</v>
      </c>
      <c r="T21" s="41"/>
      <c r="U21" s="41">
        <f>'FY24'!S21</f>
        <v>0</v>
      </c>
      <c r="V21" s="41">
        <f t="shared" ref="V21" si="8">S21-U21</f>
        <v>0</v>
      </c>
      <c r="W21" s="39"/>
    </row>
    <row r="22" spans="1:23" s="37" customFormat="1" ht="12" x14ac:dyDescent="0.2">
      <c r="A22" s="45"/>
      <c r="C22" s="38"/>
      <c r="E22" s="50">
        <f>SUBTOTAL(9,E19:E21)</f>
        <v>0</v>
      </c>
      <c r="F22" s="50">
        <f t="shared" ref="F22:P22" si="9">SUBTOTAL(9,F19:F21)</f>
        <v>0</v>
      </c>
      <c r="G22" s="50">
        <f t="shared" si="9"/>
        <v>0</v>
      </c>
      <c r="H22" s="50">
        <f t="shared" si="9"/>
        <v>0</v>
      </c>
      <c r="I22" s="50">
        <f t="shared" si="9"/>
        <v>0</v>
      </c>
      <c r="J22" s="50">
        <f t="shared" si="9"/>
        <v>0</v>
      </c>
      <c r="K22" s="50">
        <f t="shared" si="9"/>
        <v>0</v>
      </c>
      <c r="L22" s="50">
        <f t="shared" si="9"/>
        <v>0</v>
      </c>
      <c r="M22" s="50">
        <f t="shared" si="9"/>
        <v>0</v>
      </c>
      <c r="N22" s="50">
        <f t="shared" si="9"/>
        <v>0</v>
      </c>
      <c r="O22" s="50">
        <f t="shared" si="9"/>
        <v>0</v>
      </c>
      <c r="P22" s="50">
        <f t="shared" si="9"/>
        <v>0</v>
      </c>
      <c r="Q22" s="99"/>
      <c r="R22" s="41"/>
      <c r="S22" s="61">
        <f>SUBTOTAL(9,S19:S21)</f>
        <v>0</v>
      </c>
      <c r="T22" s="41"/>
      <c r="U22" s="50">
        <f>SUBTOTAL(9,U19:U21)</f>
        <v>0</v>
      </c>
      <c r="V22" s="50">
        <f>SUBTOTAL(9,V19:V21)</f>
        <v>0</v>
      </c>
      <c r="W22" s="39"/>
    </row>
    <row r="23" spans="1:23" s="37" customFormat="1" ht="12" x14ac:dyDescent="0.2">
      <c r="A23" s="45"/>
      <c r="C23" s="49" t="s">
        <v>149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00"/>
      <c r="R23" s="41"/>
      <c r="S23" s="62"/>
      <c r="T23" s="41"/>
      <c r="U23" s="41"/>
      <c r="V23" s="41"/>
      <c r="W23" s="39"/>
    </row>
    <row r="24" spans="1:23" s="37" customFormat="1" ht="12" x14ac:dyDescent="0.2">
      <c r="A24" s="45"/>
      <c r="C24" s="200">
        <v>1790</v>
      </c>
      <c r="D24" s="37" t="s">
        <v>4</v>
      </c>
      <c r="E24" s="363">
        <f>+'FY24'!E24*(1+MYP!$M$8)</f>
        <v>0</v>
      </c>
      <c r="F24" s="363">
        <f>+'FY24'!F24*(1+MYP!$M$8)</f>
        <v>0</v>
      </c>
      <c r="G24" s="363">
        <f>+'FY24'!G24*(1+MYP!$M$8)</f>
        <v>0</v>
      </c>
      <c r="H24" s="363">
        <f>+'FY24'!H24*(1+MYP!$M$8)</f>
        <v>0</v>
      </c>
      <c r="I24" s="363">
        <f>+'FY24'!I24*(1+MYP!$M$8)</f>
        <v>0</v>
      </c>
      <c r="J24" s="363">
        <f>+'FY24'!J24*(1+MYP!$M$8)</f>
        <v>0</v>
      </c>
      <c r="K24" s="363">
        <f>+'FY24'!K24*(1+MYP!$M$8)</f>
        <v>0</v>
      </c>
      <c r="L24" s="363">
        <f>+'FY24'!L24*(1+MYP!$M$8)</f>
        <v>0</v>
      </c>
      <c r="M24" s="363">
        <f>+'FY24'!M24*(1+MYP!$M$8)</f>
        <v>0</v>
      </c>
      <c r="N24" s="363">
        <f>+'FY24'!N24*(1+MYP!$M$8)</f>
        <v>0</v>
      </c>
      <c r="O24" s="363">
        <f>+'FY24'!O24*(1+MYP!$M$8)</f>
        <v>0</v>
      </c>
      <c r="P24" s="363">
        <f>+'FY24'!P24*(1+MYP!$M$8)</f>
        <v>0</v>
      </c>
      <c r="Q24" s="100"/>
      <c r="R24" s="41"/>
      <c r="S24" s="59">
        <f>SUM(E24:Q24)</f>
        <v>0</v>
      </c>
      <c r="T24" s="41"/>
      <c r="U24" s="39">
        <f>'FY24'!S24</f>
        <v>0</v>
      </c>
      <c r="V24" s="39">
        <f>S24-U24</f>
        <v>0</v>
      </c>
      <c r="W24" s="39"/>
    </row>
    <row r="25" spans="1:23" s="37" customFormat="1" ht="12" x14ac:dyDescent="0.2">
      <c r="A25" s="45"/>
      <c r="C25" s="38"/>
      <c r="E25" s="50">
        <f>SUBTOTAL(9,E24)</f>
        <v>0</v>
      </c>
      <c r="F25" s="50">
        <f t="shared" ref="F25:S25" si="10">SUBTOTAL(9,F24)</f>
        <v>0</v>
      </c>
      <c r="G25" s="50">
        <f t="shared" si="10"/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0">
        <f t="shared" si="10"/>
        <v>0</v>
      </c>
      <c r="Q25" s="99"/>
      <c r="R25" s="41"/>
      <c r="S25" s="61">
        <f t="shared" si="10"/>
        <v>0</v>
      </c>
      <c r="T25" s="41"/>
      <c r="U25" s="50">
        <f t="shared" ref="U25" si="11">SUBTOTAL(9,U24)</f>
        <v>0</v>
      </c>
      <c r="V25" s="50">
        <f t="shared" ref="V25" si="12">SUBTOTAL(9,V24)</f>
        <v>0</v>
      </c>
      <c r="W25" s="39"/>
    </row>
    <row r="26" spans="1:23" s="37" customFormat="1" ht="9" customHeight="1" x14ac:dyDescent="0.2">
      <c r="A26" s="45"/>
      <c r="C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00"/>
      <c r="R26" s="41"/>
      <c r="S26" s="59"/>
      <c r="T26" s="41"/>
      <c r="U26" s="39"/>
      <c r="V26" s="39"/>
      <c r="W26" s="39"/>
    </row>
    <row r="27" spans="1:23" s="45" customFormat="1" ht="12" x14ac:dyDescent="0.2">
      <c r="A27" s="45" t="s">
        <v>105</v>
      </c>
      <c r="C27" s="46"/>
      <c r="E27" s="43">
        <f t="shared" ref="E27:P27" si="13">SUBTOTAL(9,E8:E26)</f>
        <v>130111.00388999999</v>
      </c>
      <c r="F27" s="43">
        <f t="shared" si="13"/>
        <v>130111.00388999999</v>
      </c>
      <c r="G27" s="43">
        <f t="shared" si="13"/>
        <v>130111.00388999999</v>
      </c>
      <c r="H27" s="43">
        <f t="shared" si="13"/>
        <v>130111.00388999999</v>
      </c>
      <c r="I27" s="43">
        <f t="shared" si="13"/>
        <v>130111.00388999999</v>
      </c>
      <c r="J27" s="43">
        <f t="shared" si="13"/>
        <v>130111.00388999999</v>
      </c>
      <c r="K27" s="43">
        <f t="shared" si="13"/>
        <v>130111.00388999999</v>
      </c>
      <c r="L27" s="43">
        <f t="shared" si="13"/>
        <v>130111.00388999999</v>
      </c>
      <c r="M27" s="43">
        <f t="shared" si="13"/>
        <v>130111.00388999999</v>
      </c>
      <c r="N27" s="43">
        <f t="shared" si="13"/>
        <v>130111.00388999999</v>
      </c>
      <c r="O27" s="43">
        <f t="shared" si="13"/>
        <v>130111.00388999999</v>
      </c>
      <c r="P27" s="43">
        <f t="shared" si="13"/>
        <v>130105.7994498444</v>
      </c>
      <c r="Q27" s="197"/>
      <c r="R27" s="48"/>
      <c r="S27" s="60">
        <f>SUBTOTAL(9,S8:S26)</f>
        <v>1561326.8422398446</v>
      </c>
      <c r="T27" s="48"/>
      <c r="U27" s="43">
        <f>SUBTOTAL(9,U8:U26)</f>
        <v>1515851.3031454799</v>
      </c>
      <c r="V27" s="43">
        <f>SUBTOTAL(9,V8:V26)</f>
        <v>45475.539094364736</v>
      </c>
      <c r="W27" s="40"/>
    </row>
    <row r="28" spans="1:23" s="45" customFormat="1" ht="12" x14ac:dyDescent="0.2">
      <c r="C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00"/>
      <c r="R28" s="48"/>
      <c r="S28" s="59"/>
      <c r="T28" s="48"/>
      <c r="U28" s="40"/>
      <c r="V28" s="40"/>
      <c r="W28" s="40"/>
    </row>
    <row r="29" spans="1:23" s="37" customFormat="1" ht="12" x14ac:dyDescent="0.2">
      <c r="A29" s="45" t="s">
        <v>59</v>
      </c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/>
      <c r="R29" s="41"/>
      <c r="S29" s="59"/>
      <c r="T29" s="41"/>
      <c r="U29" s="39"/>
      <c r="V29" s="39"/>
      <c r="W29" s="39"/>
    </row>
    <row r="30" spans="1:23" s="37" customFormat="1" ht="12" x14ac:dyDescent="0.2">
      <c r="C30" s="49" t="s">
        <v>8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/>
      <c r="R30" s="41"/>
      <c r="S30" s="59"/>
      <c r="T30" s="41"/>
      <c r="U30" s="39"/>
      <c r="V30" s="39"/>
      <c r="W30" s="39"/>
    </row>
    <row r="31" spans="1:23" s="37" customFormat="1" ht="12" x14ac:dyDescent="0.2">
      <c r="C31" s="200">
        <v>6111</v>
      </c>
      <c r="D31" s="37" t="s">
        <v>191</v>
      </c>
      <c r="E31" s="39">
        <f>+'FY24'!E31*(1+MYP!$M$9)</f>
        <v>9872.0126690742018</v>
      </c>
      <c r="F31" s="39">
        <f>+'FY24'!F31*(1+MYP!$M$9)</f>
        <v>9872.0126690742018</v>
      </c>
      <c r="G31" s="39">
        <f>+'FY24'!G31*(1+MYP!$M$9)</f>
        <v>9872.0126690742018</v>
      </c>
      <c r="H31" s="39">
        <f>+'FY24'!H31*(1+MYP!$M$9)</f>
        <v>9872.0126690742018</v>
      </c>
      <c r="I31" s="39">
        <f>+'FY24'!I31*(1+MYP!$M$9)</f>
        <v>9872.0126690742018</v>
      </c>
      <c r="J31" s="39">
        <f>+'FY24'!J31*(1+MYP!$M$9)</f>
        <v>9872.0126690742018</v>
      </c>
      <c r="K31" s="39">
        <f>+'FY24'!K31*(1+MYP!$M$9)</f>
        <v>9872.0126690742018</v>
      </c>
      <c r="L31" s="39">
        <f>+'FY24'!L31*(1+MYP!$M$9)</f>
        <v>9872.0126690742018</v>
      </c>
      <c r="M31" s="39">
        <f>+'FY24'!M31*(1+MYP!$M$9)</f>
        <v>9872.0126690742018</v>
      </c>
      <c r="N31" s="39">
        <f>+'FY24'!N31*(1+MYP!$M$9)</f>
        <v>9872.0126690742018</v>
      </c>
      <c r="O31" s="39">
        <f>+'FY24'!O31*(1+MYP!$M$9)</f>
        <v>9872.0126690742018</v>
      </c>
      <c r="P31" s="39">
        <f>+'FY24'!P31*(1+MYP!$M$9)</f>
        <v>9872.0126690742018</v>
      </c>
      <c r="Q31" s="100"/>
      <c r="R31" s="41"/>
      <c r="S31" s="59">
        <f t="shared" ref="S31:S40" si="14">SUM(E31:Q31)</f>
        <v>118464.15202889043</v>
      </c>
      <c r="T31" s="41"/>
      <c r="U31" s="39">
        <f>'FY24'!S31</f>
        <v>116141.32551851998</v>
      </c>
      <c r="V31" s="39">
        <f>U31-S31</f>
        <v>-2322.8265103704471</v>
      </c>
      <c r="W31" s="39"/>
    </row>
    <row r="32" spans="1:23" s="37" customFormat="1" ht="12" x14ac:dyDescent="0.2">
      <c r="C32" s="200">
        <v>6114</v>
      </c>
      <c r="D32" s="37" t="s">
        <v>192</v>
      </c>
      <c r="E32" s="39">
        <f>+'FY24'!E32*(1+MYP!$M$9)</f>
        <v>8874.2524117499997</v>
      </c>
      <c r="F32" s="39">
        <f>+'FY24'!F32*(1+MYP!$M$9)</f>
        <v>8874.2524117499997</v>
      </c>
      <c r="G32" s="39">
        <f>+'FY24'!G32*(1+MYP!$M$9)</f>
        <v>8874.2524117499997</v>
      </c>
      <c r="H32" s="39">
        <f>+'FY24'!H32*(1+MYP!$M$9)</f>
        <v>8874.2524117499997</v>
      </c>
      <c r="I32" s="39">
        <f>+'FY24'!I32*(1+MYP!$M$9)</f>
        <v>8874.2524117499997</v>
      </c>
      <c r="J32" s="39">
        <f>+'FY24'!J32*(1+MYP!$M$9)</f>
        <v>8874.2524117499997</v>
      </c>
      <c r="K32" s="39">
        <f>+'FY24'!K32*(1+MYP!$M$9)</f>
        <v>8874.2524117499997</v>
      </c>
      <c r="L32" s="39">
        <f>+'FY24'!L32*(1+MYP!$M$9)</f>
        <v>8874.2524117499997</v>
      </c>
      <c r="M32" s="39">
        <f>+'FY24'!M32*(1+MYP!$M$9)</f>
        <v>8874.2524117499997</v>
      </c>
      <c r="N32" s="39">
        <f>+'FY24'!N32*(1+MYP!$M$9)</f>
        <v>8874.2524117499997</v>
      </c>
      <c r="O32" s="39">
        <f>+'FY24'!O32*(1+MYP!$M$9)</f>
        <v>8874.2524117499997</v>
      </c>
      <c r="P32" s="39">
        <f>+'FY24'!P32*(1+MYP!$M$9)</f>
        <v>8874.2524117499997</v>
      </c>
      <c r="Q32" s="100"/>
      <c r="R32" s="41"/>
      <c r="S32" s="59">
        <f t="shared" si="14"/>
        <v>106491.028941</v>
      </c>
      <c r="T32" s="41"/>
      <c r="U32" s="39">
        <f>'FY24'!S32</f>
        <v>104402.96955000002</v>
      </c>
      <c r="V32" s="39">
        <f t="shared" ref="V32:V40" si="15">U32-S32</f>
        <v>-2088.0593909999734</v>
      </c>
      <c r="W32" s="39"/>
    </row>
    <row r="33" spans="3:23" s="37" customFormat="1" ht="12" x14ac:dyDescent="0.2">
      <c r="C33" s="200">
        <v>6117</v>
      </c>
      <c r="D33" s="37" t="s">
        <v>228</v>
      </c>
      <c r="E33" s="39">
        <f>+'FY24'!E33*(1+MYP!$M$9)</f>
        <v>4156.6369132944001</v>
      </c>
      <c r="F33" s="39">
        <f>+'FY24'!F33*(1+MYP!$M$9)</f>
        <v>4156.6369132944001</v>
      </c>
      <c r="G33" s="39">
        <f>+'FY24'!G33*(1+MYP!$M$9)</f>
        <v>4156.6369132944001</v>
      </c>
      <c r="H33" s="39">
        <f>+'FY24'!H33*(1+MYP!$M$9)</f>
        <v>4156.6369132944001</v>
      </c>
      <c r="I33" s="39">
        <f>+'FY24'!I33*(1+MYP!$M$9)</f>
        <v>4156.6369132944001</v>
      </c>
      <c r="J33" s="39">
        <f>+'FY24'!J33*(1+MYP!$M$9)</f>
        <v>4156.6369132944001</v>
      </c>
      <c r="K33" s="39">
        <f>+'FY24'!K33*(1+MYP!$M$9)</f>
        <v>4156.6369132944001</v>
      </c>
      <c r="L33" s="39">
        <f>+'FY24'!L33*(1+MYP!$M$9)</f>
        <v>4156.6369132944001</v>
      </c>
      <c r="M33" s="39">
        <f>+'FY24'!M33*(1+MYP!$M$9)</f>
        <v>4156.6369132944001</v>
      </c>
      <c r="N33" s="39">
        <f>+'FY24'!N33*(1+MYP!$M$9)</f>
        <v>4156.6369132944001</v>
      </c>
      <c r="O33" s="39">
        <f>+'FY24'!O33*(1+MYP!$M$9)</f>
        <v>4156.6369132944001</v>
      </c>
      <c r="P33" s="39">
        <f>+'FY24'!P33*(1+MYP!$M$9)</f>
        <v>4156.6369132944001</v>
      </c>
      <c r="Q33" s="100"/>
      <c r="R33" s="41"/>
      <c r="S33" s="59">
        <f t="shared" si="14"/>
        <v>49879.642959532815</v>
      </c>
      <c r="T33" s="41"/>
      <c r="U33" s="39">
        <f>'FY24'!S33</f>
        <v>48901.610744640006</v>
      </c>
      <c r="V33" s="39">
        <f t="shared" si="15"/>
        <v>-978.03221489280986</v>
      </c>
      <c r="W33" s="39"/>
    </row>
    <row r="34" spans="3:23" s="37" customFormat="1" ht="12" x14ac:dyDescent="0.2">
      <c r="C34" s="200">
        <v>6127</v>
      </c>
      <c r="D34" s="37" t="s">
        <v>229</v>
      </c>
      <c r="E34" s="39">
        <f>+'FY24'!E34*(1+MYP!$M$9)</f>
        <v>3564.8099136000005</v>
      </c>
      <c r="F34" s="39">
        <f>+'FY24'!F34*(1+MYP!$M$9)</f>
        <v>3564.8099136000005</v>
      </c>
      <c r="G34" s="39">
        <f>+'FY24'!G34*(1+MYP!$M$9)</f>
        <v>3564.8099136000005</v>
      </c>
      <c r="H34" s="39">
        <f>+'FY24'!H34*(1+MYP!$M$9)</f>
        <v>3564.8099136000005</v>
      </c>
      <c r="I34" s="39">
        <f>+'FY24'!I34*(1+MYP!$M$9)</f>
        <v>3564.8099136000005</v>
      </c>
      <c r="J34" s="39">
        <f>+'FY24'!J34*(1+MYP!$M$9)</f>
        <v>3564.8099136000005</v>
      </c>
      <c r="K34" s="39">
        <f>+'FY24'!K34*(1+MYP!$M$9)</f>
        <v>3564.8099136000005</v>
      </c>
      <c r="L34" s="39">
        <f>+'FY24'!L34*(1+MYP!$M$9)</f>
        <v>3564.8099136000005</v>
      </c>
      <c r="M34" s="39">
        <f>+'FY24'!M34*(1+MYP!$M$9)</f>
        <v>3564.8099136000005</v>
      </c>
      <c r="N34" s="39">
        <f>+'FY24'!N34*(1+MYP!$M$9)</f>
        <v>3564.8099136000005</v>
      </c>
      <c r="O34" s="39">
        <f>+'FY24'!O34*(1+MYP!$M$9)</f>
        <v>3564.8099136000005</v>
      </c>
      <c r="P34" s="39">
        <f>+'FY24'!P34*(1+MYP!$M$9)</f>
        <v>3564.8099136000005</v>
      </c>
      <c r="Q34" s="100"/>
      <c r="R34" s="41"/>
      <c r="S34" s="59">
        <f t="shared" si="14"/>
        <v>42777.718963200015</v>
      </c>
      <c r="T34" s="41"/>
      <c r="U34" s="39">
        <f>'FY24'!S34</f>
        <v>41938.940159999998</v>
      </c>
      <c r="V34" s="39">
        <f t="shared" si="15"/>
        <v>-838.77880320001714</v>
      </c>
      <c r="W34" s="39"/>
    </row>
    <row r="35" spans="3:23" s="37" customFormat="1" ht="12" x14ac:dyDescent="0.2">
      <c r="C35" s="200">
        <v>6151</v>
      </c>
      <c r="D35" s="37" t="s">
        <v>189</v>
      </c>
      <c r="E35" s="39">
        <f>+'FY24'!E35*(1+MYP!$M$9)</f>
        <v>0</v>
      </c>
      <c r="F35" s="39">
        <f>+'FY24'!F35*(1+MYP!$M$9)</f>
        <v>0</v>
      </c>
      <c r="G35" s="39">
        <f>+'FY24'!G35*(1+MYP!$M$9)</f>
        <v>1623.6482400000002</v>
      </c>
      <c r="H35" s="39">
        <f>+'FY24'!H35*(1+MYP!$M$9)</f>
        <v>1623.6482400000002</v>
      </c>
      <c r="I35" s="39">
        <f>+'FY24'!I35*(1+MYP!$M$9)</f>
        <v>0</v>
      </c>
      <c r="J35" s="39">
        <f>+'FY24'!J35*(1+MYP!$M$9)</f>
        <v>0</v>
      </c>
      <c r="K35" s="39">
        <f>+'FY24'!K35*(1+MYP!$M$9)</f>
        <v>0</v>
      </c>
      <c r="L35" s="39">
        <f>+'FY24'!L35*(1+MYP!$M$9)</f>
        <v>1623.6482400000002</v>
      </c>
      <c r="M35" s="39">
        <f>+'FY24'!M35*(1+MYP!$M$9)</f>
        <v>1623.6482400000002</v>
      </c>
      <c r="N35" s="39">
        <f>+'FY24'!N35*(1+MYP!$M$9)</f>
        <v>0</v>
      </c>
      <c r="O35" s="39">
        <f>+'FY24'!O35*(1+MYP!$M$9)</f>
        <v>0</v>
      </c>
      <c r="P35" s="39">
        <f>+'FY24'!P35*(1+MYP!$M$9)</f>
        <v>0</v>
      </c>
      <c r="Q35" s="100"/>
      <c r="R35" s="41"/>
      <c r="S35" s="59">
        <f t="shared" si="14"/>
        <v>6494.5929600000009</v>
      </c>
      <c r="T35" s="41"/>
      <c r="U35" s="39">
        <f>'FY24'!S35</f>
        <v>6367.2480000000005</v>
      </c>
      <c r="V35" s="39">
        <f t="shared" si="15"/>
        <v>-127.34496000000036</v>
      </c>
      <c r="W35" s="39"/>
    </row>
    <row r="36" spans="3:23" s="37" customFormat="1" ht="12" x14ac:dyDescent="0.2">
      <c r="C36" s="200">
        <v>6154</v>
      </c>
      <c r="D36" s="37" t="s">
        <v>190</v>
      </c>
      <c r="E36" s="39">
        <f>+'FY24'!E36*(1+MYP!$M$9)</f>
        <v>0</v>
      </c>
      <c r="F36" s="39">
        <f>+'FY24'!F36*(1+MYP!$M$9)</f>
        <v>0</v>
      </c>
      <c r="G36" s="39">
        <f>+'FY24'!G36*(1+MYP!$M$9)</f>
        <v>1005.5794766400001</v>
      </c>
      <c r="H36" s="39">
        <f>+'FY24'!H36*(1+MYP!$M$9)</f>
        <v>0</v>
      </c>
      <c r="I36" s="39">
        <f>+'FY24'!I36*(1+MYP!$M$9)</f>
        <v>1005.5794766400001</v>
      </c>
      <c r="J36" s="39">
        <f>+'FY24'!J36*(1+MYP!$M$9)</f>
        <v>0</v>
      </c>
      <c r="K36" s="39">
        <f>+'FY24'!K36*(1+MYP!$M$9)</f>
        <v>1005.5794766400001</v>
      </c>
      <c r="L36" s="39">
        <f>+'FY24'!L36*(1+MYP!$M$9)</f>
        <v>0</v>
      </c>
      <c r="M36" s="39">
        <f>+'FY24'!M36*(1+MYP!$M$9)</f>
        <v>1005.5794766400001</v>
      </c>
      <c r="N36" s="39">
        <f>+'FY24'!N36*(1+MYP!$M$9)</f>
        <v>1005.5794766400001</v>
      </c>
      <c r="O36" s="39">
        <f>+'FY24'!O36*(1+MYP!$M$9)</f>
        <v>0</v>
      </c>
      <c r="P36" s="39">
        <f>+'FY24'!P36*(1+MYP!$M$9)</f>
        <v>2435.4723600000002</v>
      </c>
      <c r="Q36" s="100"/>
      <c r="R36" s="41"/>
      <c r="S36" s="59">
        <f t="shared" si="14"/>
        <v>7463.3697432000008</v>
      </c>
      <c r="T36" s="41"/>
      <c r="U36" s="39">
        <f>'FY24'!S36</f>
        <v>7317.02916</v>
      </c>
      <c r="V36" s="39">
        <f t="shared" si="15"/>
        <v>-146.34058320000076</v>
      </c>
      <c r="W36" s="39"/>
    </row>
    <row r="37" spans="3:23" s="37" customFormat="1" ht="12" x14ac:dyDescent="0.2">
      <c r="C37" s="200">
        <v>6157</v>
      </c>
      <c r="D37" s="37" t="s">
        <v>230</v>
      </c>
      <c r="E37" s="39">
        <f>+'FY24'!E37*(1+MYP!$M$9)</f>
        <v>0</v>
      </c>
      <c r="F37" s="39">
        <f>+'FY24'!F37*(1+MYP!$M$9)</f>
        <v>0</v>
      </c>
      <c r="G37" s="39">
        <f>+'FY24'!G37*(1+MYP!$M$9)</f>
        <v>811.82412000000011</v>
      </c>
      <c r="H37" s="39">
        <f>+'FY24'!H37*(1+MYP!$M$9)</f>
        <v>811.82412000000011</v>
      </c>
      <c r="I37" s="39">
        <f>+'FY24'!I37*(1+MYP!$M$9)</f>
        <v>0</v>
      </c>
      <c r="J37" s="39">
        <f>+'FY24'!J37*(1+MYP!$M$9)</f>
        <v>0</v>
      </c>
      <c r="K37" s="39">
        <f>+'FY24'!K37*(1+MYP!$M$9)</f>
        <v>0</v>
      </c>
      <c r="L37" s="39">
        <f>+'FY24'!L37*(1+MYP!$M$9)</f>
        <v>811.82412000000011</v>
      </c>
      <c r="M37" s="39">
        <f>+'FY24'!M37*(1+MYP!$M$9)</f>
        <v>811.82412000000011</v>
      </c>
      <c r="N37" s="39">
        <f>+'FY24'!N37*(1+MYP!$M$9)</f>
        <v>0</v>
      </c>
      <c r="O37" s="39">
        <f>+'FY24'!O37*(1+MYP!$M$9)</f>
        <v>0</v>
      </c>
      <c r="P37" s="39">
        <f>+'FY24'!P37*(1+MYP!$M$9)</f>
        <v>0</v>
      </c>
      <c r="Q37" s="100"/>
      <c r="R37" s="41"/>
      <c r="S37" s="59">
        <f t="shared" si="14"/>
        <v>3247.2964800000004</v>
      </c>
      <c r="T37" s="41"/>
      <c r="U37" s="39">
        <f>'FY24'!S37</f>
        <v>3183.6240000000003</v>
      </c>
      <c r="V37" s="39">
        <f t="shared" si="15"/>
        <v>-63.672480000000178</v>
      </c>
      <c r="W37" s="39"/>
    </row>
    <row r="38" spans="3:23" s="37" customFormat="1" ht="12" x14ac:dyDescent="0.2">
      <c r="C38" s="200">
        <v>6161</v>
      </c>
      <c r="D38" s="37" t="s">
        <v>97</v>
      </c>
      <c r="E38" s="39">
        <f>+'FY24'!E38*(1+MYP!$M$9)</f>
        <v>0</v>
      </c>
      <c r="F38" s="39">
        <f>+'FY24'!F38*(1+MYP!$M$9)</f>
        <v>0</v>
      </c>
      <c r="G38" s="39">
        <f>+'FY24'!G38*(1+MYP!$M$9)</f>
        <v>0</v>
      </c>
      <c r="H38" s="39">
        <f>+'FY24'!H38*(1+MYP!$M$9)</f>
        <v>324.72964800000005</v>
      </c>
      <c r="I38" s="39">
        <f>+'FY24'!I38*(1+MYP!$M$9)</f>
        <v>324.72964800000005</v>
      </c>
      <c r="J38" s="39">
        <f>+'FY24'!J38*(1+MYP!$M$9)</f>
        <v>324.72964800000005</v>
      </c>
      <c r="K38" s="39">
        <f>+'FY24'!K38*(1+MYP!$M$9)</f>
        <v>324.72964800000005</v>
      </c>
      <c r="L38" s="39">
        <f>+'FY24'!L38*(1+MYP!$M$9)</f>
        <v>0</v>
      </c>
      <c r="M38" s="39">
        <f>+'FY24'!M38*(1+MYP!$M$9)</f>
        <v>0</v>
      </c>
      <c r="N38" s="39">
        <f>+'FY24'!N38*(1+MYP!$M$9)</f>
        <v>0</v>
      </c>
      <c r="O38" s="39">
        <f>+'FY24'!O38*(1+MYP!$M$9)</f>
        <v>0</v>
      </c>
      <c r="P38" s="39">
        <f>+'FY24'!P38*(1+MYP!$M$9)</f>
        <v>0</v>
      </c>
      <c r="Q38" s="100"/>
      <c r="R38" s="41"/>
      <c r="S38" s="59">
        <f t="shared" si="14"/>
        <v>1298.9185920000002</v>
      </c>
      <c r="T38" s="41"/>
      <c r="U38" s="39">
        <f>'FY24'!S38</f>
        <v>1273.4496000000001</v>
      </c>
      <c r="V38" s="39">
        <f t="shared" si="15"/>
        <v>-25.468992000000071</v>
      </c>
      <c r="W38" s="39"/>
    </row>
    <row r="39" spans="3:23" s="37" customFormat="1" ht="12" x14ac:dyDescent="0.2">
      <c r="C39" s="200">
        <v>6164</v>
      </c>
      <c r="D39" s="37" t="s">
        <v>98</v>
      </c>
      <c r="E39" s="39">
        <f>+'FY24'!E39*(1+MYP!$M$9)</f>
        <v>0</v>
      </c>
      <c r="F39" s="39">
        <f>+'FY24'!F39*(1+MYP!$M$9)</f>
        <v>0</v>
      </c>
      <c r="G39" s="39">
        <f>+'FY24'!G39*(1+MYP!$M$9)</f>
        <v>0</v>
      </c>
      <c r="H39" s="39">
        <f>+'FY24'!H39*(1+MYP!$M$9)</f>
        <v>270.60804000000002</v>
      </c>
      <c r="I39" s="39">
        <f>+'FY24'!I39*(1+MYP!$M$9)</f>
        <v>270.60804000000002</v>
      </c>
      <c r="J39" s="39">
        <f>+'FY24'!J39*(1+MYP!$M$9)</f>
        <v>270.60804000000002</v>
      </c>
      <c r="K39" s="39">
        <f>+'FY24'!K39*(1+MYP!$M$9)</f>
        <v>270.60804000000002</v>
      </c>
      <c r="L39" s="39">
        <f>+'FY24'!L39*(1+MYP!$M$9)</f>
        <v>0</v>
      </c>
      <c r="M39" s="39">
        <f>+'FY24'!M39*(1+MYP!$M$9)</f>
        <v>0</v>
      </c>
      <c r="N39" s="39">
        <f>+'FY24'!N39*(1+MYP!$M$9)</f>
        <v>0</v>
      </c>
      <c r="O39" s="39">
        <f>+'FY24'!O39*(1+MYP!$M$9)</f>
        <v>0</v>
      </c>
      <c r="P39" s="39">
        <f>+'FY24'!P39*(1+MYP!$M$9)</f>
        <v>0</v>
      </c>
      <c r="Q39" s="100"/>
      <c r="R39" s="41"/>
      <c r="S39" s="59">
        <f t="shared" si="14"/>
        <v>1082.4321600000001</v>
      </c>
      <c r="T39" s="41"/>
      <c r="U39" s="39">
        <f>'FY24'!S39</f>
        <v>1061.2080000000001</v>
      </c>
      <c r="V39" s="39">
        <f t="shared" si="15"/>
        <v>-21.224159999999983</v>
      </c>
      <c r="W39" s="39"/>
    </row>
    <row r="40" spans="3:23" s="37" customFormat="1" ht="12" x14ac:dyDescent="0.2">
      <c r="C40" s="200">
        <v>6167</v>
      </c>
      <c r="D40" s="37" t="s">
        <v>231</v>
      </c>
      <c r="E40" s="39">
        <f>+'FY24'!E40*(1+MYP!$M$9)</f>
        <v>0</v>
      </c>
      <c r="F40" s="39">
        <f>+'FY24'!F40*(1+MYP!$M$9)</f>
        <v>0</v>
      </c>
      <c r="G40" s="39">
        <f>+'FY24'!G40*(1+MYP!$M$9)</f>
        <v>0</v>
      </c>
      <c r="H40" s="39">
        <f>+'FY24'!H40*(1+MYP!$M$9)</f>
        <v>162.36482400000003</v>
      </c>
      <c r="I40" s="39">
        <f>+'FY24'!I40*(1+MYP!$M$9)</f>
        <v>162.36482400000003</v>
      </c>
      <c r="J40" s="39">
        <f>+'FY24'!J40*(1+MYP!$M$9)</f>
        <v>162.36482400000003</v>
      </c>
      <c r="K40" s="39">
        <f>+'FY24'!K40*(1+MYP!$M$9)</f>
        <v>162.36482400000003</v>
      </c>
      <c r="L40" s="39">
        <f>+'FY24'!L40*(1+MYP!$M$9)</f>
        <v>0</v>
      </c>
      <c r="M40" s="39">
        <f>+'FY24'!M40*(1+MYP!$M$9)</f>
        <v>0</v>
      </c>
      <c r="N40" s="39">
        <f>+'FY24'!N40*(1+MYP!$M$9)</f>
        <v>0</v>
      </c>
      <c r="O40" s="39">
        <f>+'FY24'!O40*(1+MYP!$M$9)</f>
        <v>0</v>
      </c>
      <c r="P40" s="39">
        <f>+'FY24'!P40*(1+MYP!$M$9)</f>
        <v>0</v>
      </c>
      <c r="Q40" s="100"/>
      <c r="R40" s="41"/>
      <c r="S40" s="59">
        <f t="shared" si="14"/>
        <v>649.45929600000011</v>
      </c>
      <c r="T40" s="41"/>
      <c r="U40" s="39">
        <f>'FY24'!S40</f>
        <v>636.72480000000007</v>
      </c>
      <c r="V40" s="39">
        <f t="shared" si="15"/>
        <v>-12.734496000000036</v>
      </c>
      <c r="W40" s="39"/>
    </row>
    <row r="41" spans="3:23" s="37" customFormat="1" ht="12" x14ac:dyDescent="0.2">
      <c r="C41" s="38"/>
      <c r="E41" s="50">
        <f t="shared" ref="E41:P41" si="16">SUBTOTAL(9,E31:E40)</f>
        <v>26467.711907718607</v>
      </c>
      <c r="F41" s="50">
        <f t="shared" si="16"/>
        <v>26467.711907718607</v>
      </c>
      <c r="G41" s="50">
        <f t="shared" si="16"/>
        <v>29908.763744358606</v>
      </c>
      <c r="H41" s="50">
        <f t="shared" si="16"/>
        <v>29660.886779718607</v>
      </c>
      <c r="I41" s="50">
        <f t="shared" si="16"/>
        <v>28230.993896358606</v>
      </c>
      <c r="J41" s="50">
        <f t="shared" si="16"/>
        <v>27225.414419718607</v>
      </c>
      <c r="K41" s="50">
        <f t="shared" si="16"/>
        <v>28230.993896358606</v>
      </c>
      <c r="L41" s="50">
        <f t="shared" si="16"/>
        <v>28903.184267718607</v>
      </c>
      <c r="M41" s="50">
        <f t="shared" si="16"/>
        <v>29908.763744358606</v>
      </c>
      <c r="N41" s="50">
        <f t="shared" si="16"/>
        <v>27473.291384358607</v>
      </c>
      <c r="O41" s="50">
        <f t="shared" si="16"/>
        <v>26467.711907718607</v>
      </c>
      <c r="P41" s="50">
        <f t="shared" si="16"/>
        <v>28903.184267718607</v>
      </c>
      <c r="Q41" s="51"/>
      <c r="R41" s="41"/>
      <c r="S41" s="61">
        <f>SUBTOTAL(9,S31:S40)</f>
        <v>337848.61212382326</v>
      </c>
      <c r="T41" s="41"/>
      <c r="U41" s="50">
        <f>SUBTOTAL(9,U31:U40)</f>
        <v>331224.12953316001</v>
      </c>
      <c r="V41" s="50">
        <f>SUBTOTAL(9,V31:V40)</f>
        <v>-6624.4825906632486</v>
      </c>
      <c r="W41" s="39"/>
    </row>
    <row r="42" spans="3:23" s="37" customFormat="1" ht="12" x14ac:dyDescent="0.2">
      <c r="C42" s="49" t="s">
        <v>99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/>
      <c r="R42" s="41"/>
      <c r="S42" s="59"/>
      <c r="T42" s="41"/>
      <c r="U42" s="39"/>
      <c r="V42" s="39"/>
      <c r="W42" s="39"/>
    </row>
    <row r="43" spans="3:23" s="37" customFormat="1" ht="12" x14ac:dyDescent="0.2">
      <c r="C43" s="200">
        <v>6211</v>
      </c>
      <c r="D43" s="37" t="s">
        <v>198</v>
      </c>
      <c r="E43" s="39">
        <f>+'FY24'!E43*(1+MYP!$M$9)</f>
        <v>80.099979840000017</v>
      </c>
      <c r="F43" s="39">
        <f>+'FY24'!F43*(1+MYP!$M$9)</f>
        <v>80.099979840000017</v>
      </c>
      <c r="G43" s="39">
        <f>+'FY24'!G43*(1+MYP!$M$9)</f>
        <v>80.099979840000017</v>
      </c>
      <c r="H43" s="39">
        <f>+'FY24'!H43*(1+MYP!$M$9)</f>
        <v>80.099979840000017</v>
      </c>
      <c r="I43" s="39">
        <f>+'FY24'!I43*(1+MYP!$M$9)</f>
        <v>80.099979840000017</v>
      </c>
      <c r="J43" s="39">
        <f>+'FY24'!J43*(1+MYP!$M$9)</f>
        <v>80.099979840000017</v>
      </c>
      <c r="K43" s="39">
        <f>+'FY24'!K43*(1+MYP!$M$9)</f>
        <v>80.099979840000017</v>
      </c>
      <c r="L43" s="39">
        <f>+'FY24'!L43*(1+MYP!$M$9)</f>
        <v>80.099979840000017</v>
      </c>
      <c r="M43" s="39">
        <f>+'FY24'!M43*(1+MYP!$M$9)</f>
        <v>80.099979840000017</v>
      </c>
      <c r="N43" s="39">
        <f>+'FY24'!N43*(1+MYP!$M$9)</f>
        <v>80.099979840000017</v>
      </c>
      <c r="O43" s="39">
        <f>+'FY24'!O43*(1+MYP!$M$9)</f>
        <v>80.099979840000017</v>
      </c>
      <c r="P43" s="39">
        <f>+'FY24'!P43*(1+MYP!$M$9)</f>
        <v>80.099979840000017</v>
      </c>
      <c r="Q43" s="36"/>
      <c r="R43" s="41"/>
      <c r="S43" s="59">
        <f t="shared" ref="S43:S61" si="17">SUM(E43:Q43)</f>
        <v>961.19975808000038</v>
      </c>
      <c r="T43" s="41"/>
      <c r="U43" s="39">
        <f>'FY24'!S43</f>
        <v>942.35270400000024</v>
      </c>
      <c r="V43" s="39">
        <f t="shared" ref="V43:V61" si="18">U43-S43</f>
        <v>-18.847054080000134</v>
      </c>
      <c r="W43" s="39"/>
    </row>
    <row r="44" spans="3:23" s="37" customFormat="1" ht="12" x14ac:dyDescent="0.2">
      <c r="C44" s="200">
        <v>6214</v>
      </c>
      <c r="D44" s="37" t="s">
        <v>199</v>
      </c>
      <c r="E44" s="39">
        <f>+'FY24'!E44*(1+MYP!$M$9)</f>
        <v>40.049989920000009</v>
      </c>
      <c r="F44" s="39">
        <f>+'FY24'!F44*(1+MYP!$M$9)</f>
        <v>40.049989920000009</v>
      </c>
      <c r="G44" s="39">
        <f>+'FY24'!G44*(1+MYP!$M$9)</f>
        <v>40.049989920000009</v>
      </c>
      <c r="H44" s="39">
        <f>+'FY24'!H44*(1+MYP!$M$9)</f>
        <v>40.049989920000009</v>
      </c>
      <c r="I44" s="39">
        <f>+'FY24'!I44*(1+MYP!$M$9)</f>
        <v>40.049989920000009</v>
      </c>
      <c r="J44" s="39">
        <f>+'FY24'!J44*(1+MYP!$M$9)</f>
        <v>40.049989920000009</v>
      </c>
      <c r="K44" s="39">
        <f>+'FY24'!K44*(1+MYP!$M$9)</f>
        <v>40.049989920000009</v>
      </c>
      <c r="L44" s="39">
        <f>+'FY24'!L44*(1+MYP!$M$9)</f>
        <v>40.049989920000009</v>
      </c>
      <c r="M44" s="39">
        <f>+'FY24'!M44*(1+MYP!$M$9)</f>
        <v>40.049989920000009</v>
      </c>
      <c r="N44" s="39">
        <f>+'FY24'!N44*(1+MYP!$M$9)</f>
        <v>40.049989920000009</v>
      </c>
      <c r="O44" s="39">
        <f>+'FY24'!O44*(1+MYP!$M$9)</f>
        <v>40.049989920000009</v>
      </c>
      <c r="P44" s="39">
        <f>+'FY24'!P44*(1+MYP!$M$9)</f>
        <v>40.049989920000009</v>
      </c>
      <c r="Q44" s="36"/>
      <c r="R44" s="41"/>
      <c r="S44" s="59">
        <f t="shared" si="17"/>
        <v>480.59987904000019</v>
      </c>
      <c r="T44" s="41"/>
      <c r="U44" s="39">
        <f>'FY24'!S44</f>
        <v>471.17635200000012</v>
      </c>
      <c r="V44" s="39">
        <f t="shared" si="18"/>
        <v>-9.4235270400000672</v>
      </c>
      <c r="W44" s="39"/>
    </row>
    <row r="45" spans="3:23" s="37" customFormat="1" ht="12" x14ac:dyDescent="0.2">
      <c r="C45" s="200">
        <v>6217</v>
      </c>
      <c r="D45" s="37" t="s">
        <v>222</v>
      </c>
      <c r="E45" s="39">
        <f>+'FY24'!E45*(1+MYP!$M$9)</f>
        <v>40.049989920000009</v>
      </c>
      <c r="F45" s="39">
        <f>+'FY24'!F45*(1+MYP!$M$9)</f>
        <v>40.049989920000009</v>
      </c>
      <c r="G45" s="39">
        <f>+'FY24'!G45*(1+MYP!$M$9)</f>
        <v>40.049989920000009</v>
      </c>
      <c r="H45" s="39">
        <f>+'FY24'!H45*(1+MYP!$M$9)</f>
        <v>40.049989920000009</v>
      </c>
      <c r="I45" s="39">
        <f>+'FY24'!I45*(1+MYP!$M$9)</f>
        <v>40.049989920000009</v>
      </c>
      <c r="J45" s="39">
        <f>+'FY24'!J45*(1+MYP!$M$9)</f>
        <v>40.049989920000009</v>
      </c>
      <c r="K45" s="39">
        <f>+'FY24'!K45*(1+MYP!$M$9)</f>
        <v>40.049989920000009</v>
      </c>
      <c r="L45" s="39">
        <f>+'FY24'!L45*(1+MYP!$M$9)</f>
        <v>40.049989920000009</v>
      </c>
      <c r="M45" s="39">
        <f>+'FY24'!M45*(1+MYP!$M$9)</f>
        <v>40.049989920000009</v>
      </c>
      <c r="N45" s="39">
        <f>+'FY24'!N45*(1+MYP!$M$9)</f>
        <v>40.049989920000009</v>
      </c>
      <c r="O45" s="39">
        <f>+'FY24'!O45*(1+MYP!$M$9)</f>
        <v>40.049989920000009</v>
      </c>
      <c r="P45" s="39">
        <f>+'FY24'!P45*(1+MYP!$M$9)</f>
        <v>40.049989920000009</v>
      </c>
      <c r="Q45" s="36"/>
      <c r="R45" s="41"/>
      <c r="S45" s="59">
        <f t="shared" si="17"/>
        <v>480.59987904000019</v>
      </c>
      <c r="T45" s="41"/>
      <c r="U45" s="39">
        <f>'FY24'!S45</f>
        <v>471.17635200000012</v>
      </c>
      <c r="V45" s="39">
        <f t="shared" si="18"/>
        <v>-9.4235270400000672</v>
      </c>
      <c r="W45" s="39"/>
    </row>
    <row r="46" spans="3:23" s="37" customFormat="1" ht="12" x14ac:dyDescent="0.2">
      <c r="C46" s="200">
        <v>6227</v>
      </c>
      <c r="D46" s="37" t="s">
        <v>221</v>
      </c>
      <c r="E46" s="39">
        <f>+'FY24'!E46*(1+MYP!$M$9)</f>
        <v>221.01821464320003</v>
      </c>
      <c r="F46" s="39">
        <f>+'FY24'!F46*(1+MYP!$M$9)</f>
        <v>221.01821464320003</v>
      </c>
      <c r="G46" s="39">
        <f>+'FY24'!G46*(1+MYP!$M$9)</f>
        <v>221.01821464320003</v>
      </c>
      <c r="H46" s="39">
        <f>+'FY24'!H46*(1+MYP!$M$9)</f>
        <v>221.01821464320003</v>
      </c>
      <c r="I46" s="39">
        <f>+'FY24'!I46*(1+MYP!$M$9)</f>
        <v>221.01821464320003</v>
      </c>
      <c r="J46" s="39">
        <f>+'FY24'!J46*(1+MYP!$M$9)</f>
        <v>221.01821464320003</v>
      </c>
      <c r="K46" s="39">
        <f>+'FY24'!K46*(1+MYP!$M$9)</f>
        <v>221.01821464320003</v>
      </c>
      <c r="L46" s="39">
        <f>+'FY24'!L46*(1+MYP!$M$9)</f>
        <v>221.01821464320003</v>
      </c>
      <c r="M46" s="39">
        <f>+'FY24'!M46*(1+MYP!$M$9)</f>
        <v>221.01821464320003</v>
      </c>
      <c r="N46" s="39">
        <f>+'FY24'!N46*(1+MYP!$M$9)</f>
        <v>221.01821464320003</v>
      </c>
      <c r="O46" s="39">
        <f>+'FY24'!O46*(1+MYP!$M$9)</f>
        <v>221.01821464320003</v>
      </c>
      <c r="P46" s="39">
        <f>+'FY24'!P46*(1+MYP!$M$9)</f>
        <v>221.01821464320003</v>
      </c>
      <c r="Q46" s="36"/>
      <c r="R46" s="41"/>
      <c r="S46" s="59">
        <f t="shared" si="17"/>
        <v>2652.2185757183997</v>
      </c>
      <c r="T46" s="41"/>
      <c r="U46" s="39">
        <f>'FY24'!S46</f>
        <v>2600.2142899199994</v>
      </c>
      <c r="V46" s="39">
        <f t="shared" si="18"/>
        <v>-52.00428579840036</v>
      </c>
      <c r="W46" s="39"/>
    </row>
    <row r="47" spans="3:23" s="37" customFormat="1" ht="12" x14ac:dyDescent="0.2">
      <c r="C47" s="200">
        <v>6231</v>
      </c>
      <c r="D47" s="37" t="s">
        <v>205</v>
      </c>
      <c r="E47" s="39">
        <f>+'FY24'!E47*(1+MYP!$M$9)</f>
        <v>1505.4819320338158</v>
      </c>
      <c r="F47" s="39">
        <f>+'FY24'!F47*(1+MYP!$M$9)</f>
        <v>1505.4819320338158</v>
      </c>
      <c r="G47" s="39">
        <f>+'FY24'!G47*(1+MYP!$M$9)</f>
        <v>1505.4819320338158</v>
      </c>
      <c r="H47" s="39">
        <f>+'FY24'!H47*(1+MYP!$M$9)</f>
        <v>1505.4819320338158</v>
      </c>
      <c r="I47" s="39">
        <f>+'FY24'!I47*(1+MYP!$M$9)</f>
        <v>1505.4819320338158</v>
      </c>
      <c r="J47" s="39">
        <f>+'FY24'!J47*(1+MYP!$M$9)</f>
        <v>1505.4819320338158</v>
      </c>
      <c r="K47" s="39">
        <f>+'FY24'!K47*(1+MYP!$M$9)</f>
        <v>1505.4819320338158</v>
      </c>
      <c r="L47" s="39">
        <f>+'FY24'!L47*(1+MYP!$M$9)</f>
        <v>1505.4819320338158</v>
      </c>
      <c r="M47" s="39">
        <f>+'FY24'!M47*(1+MYP!$M$9)</f>
        <v>1505.4819320338158</v>
      </c>
      <c r="N47" s="39">
        <f>+'FY24'!N47*(1+MYP!$M$9)</f>
        <v>1505.4819320338158</v>
      </c>
      <c r="O47" s="39">
        <f>+'FY24'!O47*(1+MYP!$M$9)</f>
        <v>1505.4819320338158</v>
      </c>
      <c r="P47" s="39">
        <f>+'FY24'!P47*(1+MYP!$M$9)</f>
        <v>1505.4819320338158</v>
      </c>
      <c r="Q47" s="36"/>
      <c r="R47" s="41"/>
      <c r="S47" s="59">
        <f>SUM(E47:Q47)</f>
        <v>18065.783184405791</v>
      </c>
      <c r="T47" s="41"/>
      <c r="U47" s="39">
        <f>'FY24'!S47</f>
        <v>17711.552141574306</v>
      </c>
      <c r="V47" s="39">
        <f t="shared" si="18"/>
        <v>-354.23104283148496</v>
      </c>
      <c r="W47" s="39"/>
    </row>
    <row r="48" spans="3:23" s="37" customFormat="1" ht="12" x14ac:dyDescent="0.2">
      <c r="C48" s="200">
        <v>6234</v>
      </c>
      <c r="D48" s="37" t="s">
        <v>206</v>
      </c>
      <c r="E48" s="39">
        <f>+'FY24'!E48*(1+MYP!$M$9)</f>
        <v>2595.7188304368751</v>
      </c>
      <c r="F48" s="39">
        <f>+'FY24'!F48*(1+MYP!$M$9)</f>
        <v>2595.7188304368751</v>
      </c>
      <c r="G48" s="39">
        <f>+'FY24'!G48*(1+MYP!$M$9)</f>
        <v>2595.7188304368751</v>
      </c>
      <c r="H48" s="39">
        <f>+'FY24'!H48*(1+MYP!$M$9)</f>
        <v>2595.7188304368751</v>
      </c>
      <c r="I48" s="39">
        <f>+'FY24'!I48*(1+MYP!$M$9)</f>
        <v>2595.7188304368751</v>
      </c>
      <c r="J48" s="39">
        <f>+'FY24'!J48*(1+MYP!$M$9)</f>
        <v>2595.7188304368751</v>
      </c>
      <c r="K48" s="39">
        <f>+'FY24'!K48*(1+MYP!$M$9)</f>
        <v>2595.7188304368751</v>
      </c>
      <c r="L48" s="39">
        <f>+'FY24'!L48*(1+MYP!$M$9)</f>
        <v>2595.7188304368751</v>
      </c>
      <c r="M48" s="39">
        <f>+'FY24'!M48*(1+MYP!$M$9)</f>
        <v>2595.7188304368751</v>
      </c>
      <c r="N48" s="39">
        <f>+'FY24'!N48*(1+MYP!$M$9)</f>
        <v>2595.7188304368751</v>
      </c>
      <c r="O48" s="39">
        <f>+'FY24'!O48*(1+MYP!$M$9)</f>
        <v>2595.7188304368751</v>
      </c>
      <c r="P48" s="39">
        <f>+'FY24'!P48*(1+MYP!$M$9)</f>
        <v>2595.7188304368751</v>
      </c>
      <c r="Q48" s="36"/>
      <c r="R48" s="41"/>
      <c r="S48" s="59">
        <f t="shared" si="17"/>
        <v>31148.625965242503</v>
      </c>
      <c r="T48" s="41"/>
      <c r="U48" s="39">
        <f>'FY24'!S48</f>
        <v>30537.868593375006</v>
      </c>
      <c r="V48" s="39">
        <f t="shared" si="18"/>
        <v>-610.75737186749757</v>
      </c>
      <c r="W48" s="39"/>
    </row>
    <row r="49" spans="3:23" s="37" customFormat="1" ht="12" x14ac:dyDescent="0.2">
      <c r="C49" s="200">
        <v>6237</v>
      </c>
      <c r="D49" s="37" t="s">
        <v>223</v>
      </c>
      <c r="E49" s="39">
        <f>+'FY24'!E49*(1+MYP!$M$9)</f>
        <v>633.88712927739596</v>
      </c>
      <c r="F49" s="39">
        <f>+'FY24'!F49*(1+MYP!$M$9)</f>
        <v>633.88712927739596</v>
      </c>
      <c r="G49" s="39">
        <f>+'FY24'!G49*(1+MYP!$M$9)</f>
        <v>633.88712927739596</v>
      </c>
      <c r="H49" s="39">
        <f>+'FY24'!H49*(1+MYP!$M$9)</f>
        <v>633.88712927739596</v>
      </c>
      <c r="I49" s="39">
        <f>+'FY24'!I49*(1+MYP!$M$9)</f>
        <v>633.88712927739596</v>
      </c>
      <c r="J49" s="39">
        <f>+'FY24'!J49*(1+MYP!$M$9)</f>
        <v>633.88712927739596</v>
      </c>
      <c r="K49" s="39">
        <f>+'FY24'!K49*(1+MYP!$M$9)</f>
        <v>633.88712927739596</v>
      </c>
      <c r="L49" s="39">
        <f>+'FY24'!L49*(1+MYP!$M$9)</f>
        <v>633.88712927739596</v>
      </c>
      <c r="M49" s="39">
        <f>+'FY24'!M49*(1+MYP!$M$9)</f>
        <v>633.88712927739596</v>
      </c>
      <c r="N49" s="39">
        <f>+'FY24'!N49*(1+MYP!$M$9)</f>
        <v>633.88712927739596</v>
      </c>
      <c r="O49" s="39">
        <f>+'FY24'!O49*(1+MYP!$M$9)</f>
        <v>633.88712927739596</v>
      </c>
      <c r="P49" s="39">
        <f>+'FY24'!P49*(1+MYP!$M$9)</f>
        <v>633.88712927739596</v>
      </c>
      <c r="Q49" s="36"/>
      <c r="R49" s="41"/>
      <c r="S49" s="59">
        <f t="shared" si="17"/>
        <v>7606.6455513287501</v>
      </c>
      <c r="T49" s="41"/>
      <c r="U49" s="39">
        <f>'FY24'!S49</f>
        <v>7457.4956385575979</v>
      </c>
      <c r="V49" s="39">
        <f t="shared" si="18"/>
        <v>-149.14991277115223</v>
      </c>
      <c r="W49" s="39"/>
    </row>
    <row r="50" spans="3:23" s="37" customFormat="1" ht="12" x14ac:dyDescent="0.2">
      <c r="C50" s="200">
        <v>6241</v>
      </c>
      <c r="D50" s="37" t="s">
        <v>196</v>
      </c>
      <c r="E50" s="39">
        <f>+'FY24'!E50*(1+MYP!$M$9)</f>
        <v>143.14418370157594</v>
      </c>
      <c r="F50" s="39">
        <f>+'FY24'!F50*(1+MYP!$M$9)</f>
        <v>143.14418370157594</v>
      </c>
      <c r="G50" s="39">
        <f>+'FY24'!G50*(1+MYP!$M$9)</f>
        <v>166.68708318157596</v>
      </c>
      <c r="H50" s="39">
        <f>+'FY24'!H50*(1+MYP!$M$9)</f>
        <v>171.39566307757593</v>
      </c>
      <c r="I50" s="39">
        <f>+'FY24'!I50*(1+MYP!$M$9)</f>
        <v>147.85276359757592</v>
      </c>
      <c r="J50" s="39">
        <f>+'FY24'!J50*(1+MYP!$M$9)</f>
        <v>147.85276359757592</v>
      </c>
      <c r="K50" s="39">
        <f>+'FY24'!K50*(1+MYP!$M$9)</f>
        <v>147.85276359757592</v>
      </c>
      <c r="L50" s="39">
        <f>+'FY24'!L50*(1+MYP!$M$9)</f>
        <v>166.68708318157596</v>
      </c>
      <c r="M50" s="39">
        <f>+'FY24'!M50*(1+MYP!$M$9)</f>
        <v>166.68708318157596</v>
      </c>
      <c r="N50" s="39">
        <f>+'FY24'!N50*(1+MYP!$M$9)</f>
        <v>143.14418370157594</v>
      </c>
      <c r="O50" s="39">
        <f>+'FY24'!O50*(1+MYP!$M$9)</f>
        <v>143.14418370157594</v>
      </c>
      <c r="P50" s="39">
        <f>+'FY24'!P50*(1+MYP!$M$9)</f>
        <v>143.14418370157594</v>
      </c>
      <c r="Q50" s="36"/>
      <c r="R50" s="41"/>
      <c r="S50" s="59">
        <f t="shared" si="17"/>
        <v>1830.7361219229108</v>
      </c>
      <c r="T50" s="41"/>
      <c r="U50" s="39">
        <f>'FY24'!S50</f>
        <v>1794.8393352185408</v>
      </c>
      <c r="V50" s="39">
        <f t="shared" si="18"/>
        <v>-35.896786704370015</v>
      </c>
      <c r="W50" s="39"/>
    </row>
    <row r="51" spans="3:23" s="37" customFormat="1" ht="12" x14ac:dyDescent="0.2">
      <c r="C51" s="200">
        <v>6244</v>
      </c>
      <c r="D51" s="37" t="s">
        <v>197</v>
      </c>
      <c r="E51" s="39">
        <f>+'FY24'!E51*(1+MYP!$M$9)</f>
        <v>128.67665997037503</v>
      </c>
      <c r="F51" s="39">
        <f>+'FY24'!F51*(1+MYP!$M$9)</f>
        <v>128.67665997037503</v>
      </c>
      <c r="G51" s="39">
        <f>+'FY24'!G51*(1+MYP!$M$9)</f>
        <v>143.25756238165502</v>
      </c>
      <c r="H51" s="39">
        <f>+'FY24'!H51*(1+MYP!$M$9)</f>
        <v>132.60047655037499</v>
      </c>
      <c r="I51" s="39">
        <f>+'FY24'!I51*(1+MYP!$M$9)</f>
        <v>147.18137896165499</v>
      </c>
      <c r="J51" s="39">
        <f>+'FY24'!J51*(1+MYP!$M$9)</f>
        <v>132.60047655037499</v>
      </c>
      <c r="K51" s="39">
        <f>+'FY24'!K51*(1+MYP!$M$9)</f>
        <v>147.18137896165499</v>
      </c>
      <c r="L51" s="39">
        <f>+'FY24'!L51*(1+MYP!$M$9)</f>
        <v>128.67665997037503</v>
      </c>
      <c r="M51" s="39">
        <f>+'FY24'!M51*(1+MYP!$M$9)</f>
        <v>143.25756238165502</v>
      </c>
      <c r="N51" s="39">
        <f>+'FY24'!N51*(1+MYP!$M$9)</f>
        <v>143.25756238165502</v>
      </c>
      <c r="O51" s="39">
        <f>+'FY24'!O51*(1+MYP!$M$9)</f>
        <v>128.67665997037503</v>
      </c>
      <c r="P51" s="39">
        <f>+'FY24'!P51*(1+MYP!$M$9)</f>
        <v>163.991009190375</v>
      </c>
      <c r="Q51" s="36"/>
      <c r="R51" s="41"/>
      <c r="S51" s="59">
        <f t="shared" si="17"/>
        <v>1668.0340472409005</v>
      </c>
      <c r="T51" s="41"/>
      <c r="U51" s="39">
        <f>'FY24'!S51</f>
        <v>1635.3274972950001</v>
      </c>
      <c r="V51" s="39">
        <f t="shared" si="18"/>
        <v>-32.706549945900406</v>
      </c>
      <c r="W51" s="39"/>
    </row>
    <row r="52" spans="3:23" s="37" customFormat="1" ht="12" x14ac:dyDescent="0.2">
      <c r="C52" s="200">
        <v>6247</v>
      </c>
      <c r="D52" s="37" t="s">
        <v>224</v>
      </c>
      <c r="E52" s="39">
        <f>+'FY24'!E52*(1+MYP!$M$9)</f>
        <v>111.96097898996882</v>
      </c>
      <c r="F52" s="39">
        <f>+'FY24'!F52*(1+MYP!$M$9)</f>
        <v>111.96097898996882</v>
      </c>
      <c r="G52" s="39">
        <f>+'FY24'!G52*(1+MYP!$M$9)</f>
        <v>123.73242872996883</v>
      </c>
      <c r="H52" s="39">
        <f>+'FY24'!H52*(1+MYP!$M$9)</f>
        <v>126.08671867796882</v>
      </c>
      <c r="I52" s="39">
        <f>+'FY24'!I52*(1+MYP!$M$9)</f>
        <v>114.31526893796881</v>
      </c>
      <c r="J52" s="39">
        <f>+'FY24'!J52*(1+MYP!$M$9)</f>
        <v>114.31526893796881</v>
      </c>
      <c r="K52" s="39">
        <f>+'FY24'!K52*(1+MYP!$M$9)</f>
        <v>114.31526893796881</v>
      </c>
      <c r="L52" s="39">
        <f>+'FY24'!L52*(1+MYP!$M$9)</f>
        <v>123.73242872996883</v>
      </c>
      <c r="M52" s="39">
        <f>+'FY24'!M52*(1+MYP!$M$9)</f>
        <v>123.73242872996883</v>
      </c>
      <c r="N52" s="39">
        <f>+'FY24'!N52*(1+MYP!$M$9)</f>
        <v>111.96097898996882</v>
      </c>
      <c r="O52" s="39">
        <f>+'FY24'!O52*(1+MYP!$M$9)</f>
        <v>111.96097898996882</v>
      </c>
      <c r="P52" s="39">
        <f>+'FY24'!P52*(1+MYP!$M$9)</f>
        <v>111.96097898996882</v>
      </c>
      <c r="Q52" s="36"/>
      <c r="R52" s="41"/>
      <c r="S52" s="59">
        <f t="shared" si="17"/>
        <v>1400.034706631626</v>
      </c>
      <c r="T52" s="41"/>
      <c r="U52" s="39">
        <f>'FY24'!S52</f>
        <v>1372.5830457172801</v>
      </c>
      <c r="V52" s="39">
        <f t="shared" si="18"/>
        <v>-27.451660914345894</v>
      </c>
      <c r="W52" s="39"/>
    </row>
    <row r="53" spans="3:23" s="37" customFormat="1" ht="12" x14ac:dyDescent="0.2">
      <c r="C53" s="200">
        <v>6261</v>
      </c>
      <c r="D53" s="37" t="s">
        <v>207</v>
      </c>
      <c r="E53" s="39">
        <f>+'FY24'!E53*(1+MYP!$M$9)</f>
        <v>84.429708480000002</v>
      </c>
      <c r="F53" s="39">
        <f>+'FY24'!F53*(1+MYP!$M$9)</f>
        <v>84.429708480000002</v>
      </c>
      <c r="G53" s="39">
        <f>+'FY24'!G53*(1+MYP!$M$9)</f>
        <v>84.429708480000002</v>
      </c>
      <c r="H53" s="39">
        <f>+'FY24'!H53*(1+MYP!$M$9)</f>
        <v>84.429708480000002</v>
      </c>
      <c r="I53" s="39">
        <f>+'FY24'!I53*(1+MYP!$M$9)</f>
        <v>84.429708480000002</v>
      </c>
      <c r="J53" s="39">
        <f>+'FY24'!J53*(1+MYP!$M$9)</f>
        <v>84.429708480000002</v>
      </c>
      <c r="K53" s="39">
        <f>+'FY24'!K53*(1+MYP!$M$9)</f>
        <v>84.429708480000002</v>
      </c>
      <c r="L53" s="39">
        <f>+'FY24'!L53*(1+MYP!$M$9)</f>
        <v>84.429708480000002</v>
      </c>
      <c r="M53" s="39">
        <f>+'FY24'!M53*(1+MYP!$M$9)</f>
        <v>84.429708480000002</v>
      </c>
      <c r="N53" s="39">
        <f>+'FY24'!N53*(1+MYP!$M$9)</f>
        <v>84.429708480000002</v>
      </c>
      <c r="O53" s="39">
        <f>+'FY24'!O53*(1+MYP!$M$9)</f>
        <v>84.429708480000002</v>
      </c>
      <c r="P53" s="39">
        <f>+'FY24'!P53*(1+MYP!$M$9)</f>
        <v>84.429708480000002</v>
      </c>
      <c r="Q53" s="36"/>
      <c r="R53" s="41"/>
      <c r="S53" s="59">
        <f t="shared" si="17"/>
        <v>1013.1565017600002</v>
      </c>
      <c r="T53" s="41"/>
      <c r="U53" s="39">
        <f>'FY24'!S53</f>
        <v>993.29068800000005</v>
      </c>
      <c r="V53" s="39">
        <f t="shared" si="18"/>
        <v>-19.865813760000151</v>
      </c>
      <c r="W53" s="39"/>
    </row>
    <row r="54" spans="3:23" s="37" customFormat="1" ht="12" x14ac:dyDescent="0.2">
      <c r="C54" s="200">
        <v>6264</v>
      </c>
      <c r="D54" s="37" t="s">
        <v>208</v>
      </c>
      <c r="E54" s="39">
        <f>+'FY24'!E54*(1+MYP!$M$9)</f>
        <v>42.214854240000001</v>
      </c>
      <c r="F54" s="39">
        <f>+'FY24'!F54*(1+MYP!$M$9)</f>
        <v>42.214854240000001</v>
      </c>
      <c r="G54" s="39">
        <f>+'FY24'!G54*(1+MYP!$M$9)</f>
        <v>42.214854240000001</v>
      </c>
      <c r="H54" s="39">
        <f>+'FY24'!H54*(1+MYP!$M$9)</f>
        <v>42.214854240000001</v>
      </c>
      <c r="I54" s="39">
        <f>+'FY24'!I54*(1+MYP!$M$9)</f>
        <v>42.214854240000001</v>
      </c>
      <c r="J54" s="39">
        <f>+'FY24'!J54*(1+MYP!$M$9)</f>
        <v>42.214854240000001</v>
      </c>
      <c r="K54" s="39">
        <f>+'FY24'!K54*(1+MYP!$M$9)</f>
        <v>42.214854240000001</v>
      </c>
      <c r="L54" s="39">
        <f>+'FY24'!L54*(1+MYP!$M$9)</f>
        <v>42.214854240000001</v>
      </c>
      <c r="M54" s="39">
        <f>+'FY24'!M54*(1+MYP!$M$9)</f>
        <v>42.214854240000001</v>
      </c>
      <c r="N54" s="39">
        <f>+'FY24'!N54*(1+MYP!$M$9)</f>
        <v>42.214854240000001</v>
      </c>
      <c r="O54" s="39">
        <f>+'FY24'!O54*(1+MYP!$M$9)</f>
        <v>42.214854240000001</v>
      </c>
      <c r="P54" s="39">
        <f>+'FY24'!P54*(1+MYP!$M$9)</f>
        <v>42.214854240000001</v>
      </c>
      <c r="Q54" s="36"/>
      <c r="R54" s="41"/>
      <c r="S54" s="59">
        <f t="shared" si="17"/>
        <v>506.5782508800001</v>
      </c>
      <c r="T54" s="41"/>
      <c r="U54" s="39">
        <f>'FY24'!S54</f>
        <v>496.64534400000002</v>
      </c>
      <c r="V54" s="39">
        <f t="shared" si="18"/>
        <v>-9.9329068800000755</v>
      </c>
      <c r="W54" s="39"/>
    </row>
    <row r="55" spans="3:23" s="37" customFormat="1" ht="12" x14ac:dyDescent="0.2">
      <c r="C55" s="200">
        <v>6267</v>
      </c>
      <c r="D55" s="37" t="s">
        <v>225</v>
      </c>
      <c r="E55" s="39">
        <f>+'FY24'!E55*(1+MYP!$M$9)</f>
        <v>95.687002944</v>
      </c>
      <c r="F55" s="39">
        <f>+'FY24'!F55*(1+MYP!$M$9)</f>
        <v>95.687002944</v>
      </c>
      <c r="G55" s="39">
        <f>+'FY24'!G55*(1+MYP!$M$9)</f>
        <v>95.687002944</v>
      </c>
      <c r="H55" s="39">
        <f>+'FY24'!H55*(1+MYP!$M$9)</f>
        <v>95.687002944</v>
      </c>
      <c r="I55" s="39">
        <f>+'FY24'!I55*(1+MYP!$M$9)</f>
        <v>95.687002944</v>
      </c>
      <c r="J55" s="39">
        <f>+'FY24'!J55*(1+MYP!$M$9)</f>
        <v>95.687002944</v>
      </c>
      <c r="K55" s="39">
        <f>+'FY24'!K55*(1+MYP!$M$9)</f>
        <v>95.687002944</v>
      </c>
      <c r="L55" s="39">
        <f>+'FY24'!L55*(1+MYP!$M$9)</f>
        <v>95.687002944</v>
      </c>
      <c r="M55" s="39">
        <f>+'FY24'!M55*(1+MYP!$M$9)</f>
        <v>95.687002944</v>
      </c>
      <c r="N55" s="39">
        <f>+'FY24'!N55*(1+MYP!$M$9)</f>
        <v>95.687002944</v>
      </c>
      <c r="O55" s="39">
        <f>+'FY24'!O55*(1+MYP!$M$9)</f>
        <v>95.687002944</v>
      </c>
      <c r="P55" s="39">
        <f>+'FY24'!P55*(1+MYP!$M$9)</f>
        <v>95.687002944</v>
      </c>
      <c r="Q55" s="36"/>
      <c r="R55" s="41"/>
      <c r="S55" s="59">
        <f t="shared" si="17"/>
        <v>1148.2440353280001</v>
      </c>
      <c r="T55" s="41"/>
      <c r="U55" s="39">
        <f>'FY24'!S55</f>
        <v>1125.7294464000001</v>
      </c>
      <c r="V55" s="39">
        <f t="shared" si="18"/>
        <v>-22.514588927999966</v>
      </c>
      <c r="W55" s="39"/>
    </row>
    <row r="56" spans="3:23" s="37" customFormat="1" ht="12" x14ac:dyDescent="0.2">
      <c r="C56" s="200">
        <v>6271</v>
      </c>
      <c r="D56" s="37" t="s">
        <v>209</v>
      </c>
      <c r="E56" s="39">
        <f>+'FY24'!E56*(1+MYP!$M$9)</f>
        <v>68.389567772982318</v>
      </c>
      <c r="F56" s="39">
        <f>+'FY24'!F56*(1+MYP!$M$9)</f>
        <v>68.389567772982318</v>
      </c>
      <c r="G56" s="39">
        <f>+'FY24'!G56*(1+MYP!$M$9)</f>
        <v>68.389567772982318</v>
      </c>
      <c r="H56" s="39">
        <f>+'FY24'!H56*(1+MYP!$M$9)</f>
        <v>68.389567772982318</v>
      </c>
      <c r="I56" s="39">
        <f>+'FY24'!I56*(1+MYP!$M$9)</f>
        <v>68.389567772982318</v>
      </c>
      <c r="J56" s="39">
        <f>+'FY24'!J56*(1+MYP!$M$9)</f>
        <v>68.389567772982318</v>
      </c>
      <c r="K56" s="39">
        <f>+'FY24'!K56*(1+MYP!$M$9)</f>
        <v>68.389567772982318</v>
      </c>
      <c r="L56" s="39">
        <f>+'FY24'!L56*(1+MYP!$M$9)</f>
        <v>68.389567772982318</v>
      </c>
      <c r="M56" s="39">
        <f>+'FY24'!M56*(1+MYP!$M$9)</f>
        <v>68.389567772982318</v>
      </c>
      <c r="N56" s="39">
        <f>+'FY24'!N56*(1+MYP!$M$9)</f>
        <v>68.389567772982318</v>
      </c>
      <c r="O56" s="39">
        <f>+'FY24'!O56*(1+MYP!$M$9)</f>
        <v>68.389567772982318</v>
      </c>
      <c r="P56" s="39">
        <f>+'FY24'!P56*(1+MYP!$M$9)</f>
        <v>68.389567772982318</v>
      </c>
      <c r="Q56" s="36"/>
      <c r="R56" s="41"/>
      <c r="S56" s="59">
        <f t="shared" si="17"/>
        <v>820.67481327578787</v>
      </c>
      <c r="T56" s="41"/>
      <c r="U56" s="39">
        <f>'FY24'!S56</f>
        <v>804.58315027037997</v>
      </c>
      <c r="V56" s="39">
        <f t="shared" si="18"/>
        <v>-16.091663005407895</v>
      </c>
      <c r="W56" s="39"/>
    </row>
    <row r="57" spans="3:23" s="37" customFormat="1" ht="12" x14ac:dyDescent="0.2">
      <c r="C57" s="200">
        <v>6274</v>
      </c>
      <c r="D57" s="37" t="s">
        <v>210</v>
      </c>
      <c r="E57" s="39">
        <f>+'FY24'!E57*(1+MYP!$M$9)</f>
        <v>62.311616707275007</v>
      </c>
      <c r="F57" s="39">
        <f>+'FY24'!F57*(1+MYP!$M$9)</f>
        <v>62.311616707275007</v>
      </c>
      <c r="G57" s="39">
        <f>+'FY24'!G57*(1+MYP!$M$9)</f>
        <v>62.311616707275007</v>
      </c>
      <c r="H57" s="39">
        <f>+'FY24'!H57*(1+MYP!$M$9)</f>
        <v>62.311616707275007</v>
      </c>
      <c r="I57" s="39">
        <f>+'FY24'!I57*(1+MYP!$M$9)</f>
        <v>62.311616707275007</v>
      </c>
      <c r="J57" s="39">
        <f>+'FY24'!J57*(1+MYP!$M$9)</f>
        <v>62.311616707275007</v>
      </c>
      <c r="K57" s="39">
        <f>+'FY24'!K57*(1+MYP!$M$9)</f>
        <v>62.311616707275007</v>
      </c>
      <c r="L57" s="39">
        <f>+'FY24'!L57*(1+MYP!$M$9)</f>
        <v>62.311616707275007</v>
      </c>
      <c r="M57" s="39">
        <f>+'FY24'!M57*(1+MYP!$M$9)</f>
        <v>62.311616707275007</v>
      </c>
      <c r="N57" s="39">
        <f>+'FY24'!N57*(1+MYP!$M$9)</f>
        <v>62.311616707275007</v>
      </c>
      <c r="O57" s="39">
        <f>+'FY24'!O57*(1+MYP!$M$9)</f>
        <v>62.311616707275007</v>
      </c>
      <c r="P57" s="39">
        <f>+'FY24'!P57*(1+MYP!$M$9)</f>
        <v>62.311616707275007</v>
      </c>
      <c r="Q57" s="36"/>
      <c r="R57" s="41"/>
      <c r="S57" s="59">
        <f t="shared" si="17"/>
        <v>747.73940048730003</v>
      </c>
      <c r="T57" s="41"/>
      <c r="U57" s="39">
        <f>'FY24'!S57</f>
        <v>733.07784361500023</v>
      </c>
      <c r="V57" s="39">
        <f t="shared" si="18"/>
        <v>-14.661556872299798</v>
      </c>
      <c r="W57" s="39"/>
    </row>
    <row r="58" spans="3:23" s="37" customFormat="1" ht="12" x14ac:dyDescent="0.2">
      <c r="C58" s="200">
        <v>6277</v>
      </c>
      <c r="D58" s="37" t="s">
        <v>226</v>
      </c>
      <c r="E58" s="39">
        <f>+'FY24'!E58*(1+MYP!$M$9)</f>
        <v>52.300147086813595</v>
      </c>
      <c r="F58" s="39">
        <f>+'FY24'!F58*(1+MYP!$M$9)</f>
        <v>52.300147086813595</v>
      </c>
      <c r="G58" s="39">
        <f>+'FY24'!G58*(1+MYP!$M$9)</f>
        <v>52.300147086813595</v>
      </c>
      <c r="H58" s="39">
        <f>+'FY24'!H58*(1+MYP!$M$9)</f>
        <v>52.300147086813595</v>
      </c>
      <c r="I58" s="39">
        <f>+'FY24'!I58*(1+MYP!$M$9)</f>
        <v>52.300147086813595</v>
      </c>
      <c r="J58" s="39">
        <f>+'FY24'!J58*(1+MYP!$M$9)</f>
        <v>52.300147086813595</v>
      </c>
      <c r="K58" s="39">
        <f>+'FY24'!K58*(1+MYP!$M$9)</f>
        <v>52.300147086813595</v>
      </c>
      <c r="L58" s="39">
        <f>+'FY24'!L58*(1+MYP!$M$9)</f>
        <v>52.300147086813595</v>
      </c>
      <c r="M58" s="39">
        <f>+'FY24'!M58*(1+MYP!$M$9)</f>
        <v>52.300147086813595</v>
      </c>
      <c r="N58" s="39">
        <f>+'FY24'!N58*(1+MYP!$M$9)</f>
        <v>52.300147086813595</v>
      </c>
      <c r="O58" s="39">
        <f>+'FY24'!O58*(1+MYP!$M$9)</f>
        <v>52.300147086813595</v>
      </c>
      <c r="P58" s="39">
        <f>+'FY24'!P58*(1+MYP!$M$9)</f>
        <v>52.300147086813595</v>
      </c>
      <c r="Q58" s="36"/>
      <c r="R58" s="41"/>
      <c r="S58" s="59">
        <f t="shared" si="17"/>
        <v>627.60176504176309</v>
      </c>
      <c r="T58" s="41"/>
      <c r="U58" s="39">
        <f>'FY24'!S58</f>
        <v>615.29584808015989</v>
      </c>
      <c r="V58" s="39">
        <f t="shared" si="18"/>
        <v>-12.305916961603202</v>
      </c>
      <c r="W58" s="39"/>
    </row>
    <row r="59" spans="3:23" s="37" customFormat="1" ht="12" x14ac:dyDescent="0.2">
      <c r="C59" s="200">
        <v>6281</v>
      </c>
      <c r="D59" s="37" t="s">
        <v>193</v>
      </c>
      <c r="E59" s="39">
        <f>+'FY24'!E59*(1+MYP!$M$9)</f>
        <v>876.77004959999999</v>
      </c>
      <c r="F59" s="39">
        <f>+'FY24'!F59*(1+MYP!$M$9)</f>
        <v>876.77004959999999</v>
      </c>
      <c r="G59" s="39">
        <f>+'FY24'!G59*(1+MYP!$M$9)</f>
        <v>876.77004959999999</v>
      </c>
      <c r="H59" s="39">
        <f>+'FY24'!H59*(1+MYP!$M$9)</f>
        <v>876.77004959999999</v>
      </c>
      <c r="I59" s="39">
        <f>+'FY24'!I59*(1+MYP!$M$9)</f>
        <v>876.77004959999999</v>
      </c>
      <c r="J59" s="39">
        <f>+'FY24'!J59*(1+MYP!$M$9)</f>
        <v>876.77004959999999</v>
      </c>
      <c r="K59" s="39">
        <f>+'FY24'!K59*(1+MYP!$M$9)</f>
        <v>876.77004959999999</v>
      </c>
      <c r="L59" s="39">
        <f>+'FY24'!L59*(1+MYP!$M$9)</f>
        <v>876.77004959999999</v>
      </c>
      <c r="M59" s="39">
        <f>+'FY24'!M59*(1+MYP!$M$9)</f>
        <v>876.77004959999999</v>
      </c>
      <c r="N59" s="39">
        <f>+'FY24'!N59*(1+MYP!$M$9)</f>
        <v>876.77004959999999</v>
      </c>
      <c r="O59" s="39">
        <f>+'FY24'!O59*(1+MYP!$M$9)</f>
        <v>876.77004959999999</v>
      </c>
      <c r="P59" s="39">
        <f>+'FY24'!P59*(1+MYP!$M$9)</f>
        <v>876.77004959999999</v>
      </c>
      <c r="Q59" s="36"/>
      <c r="R59" s="41"/>
      <c r="S59" s="59">
        <f t="shared" si="17"/>
        <v>10521.240595199999</v>
      </c>
      <c r="T59" s="41"/>
      <c r="U59" s="39">
        <f>'FY24'!S59</f>
        <v>10314.94176</v>
      </c>
      <c r="V59" s="39">
        <f t="shared" si="18"/>
        <v>-206.2988351999993</v>
      </c>
      <c r="W59" s="39"/>
    </row>
    <row r="60" spans="3:23" s="37" customFormat="1" ht="12" x14ac:dyDescent="0.2">
      <c r="C60" s="200">
        <v>6284</v>
      </c>
      <c r="D60" s="37" t="s">
        <v>194</v>
      </c>
      <c r="E60" s="39">
        <f>+'FY24'!E60*(1+MYP!$M$9)</f>
        <v>438.3850248</v>
      </c>
      <c r="F60" s="39">
        <f>+'FY24'!F60*(1+MYP!$M$9)</f>
        <v>438.3850248</v>
      </c>
      <c r="G60" s="39">
        <f>+'FY24'!G60*(1+MYP!$M$9)</f>
        <v>438.3850248</v>
      </c>
      <c r="H60" s="39">
        <f>+'FY24'!H60*(1+MYP!$M$9)</f>
        <v>438.3850248</v>
      </c>
      <c r="I60" s="39">
        <f>+'FY24'!I60*(1+MYP!$M$9)</f>
        <v>438.3850248</v>
      </c>
      <c r="J60" s="39">
        <f>+'FY24'!J60*(1+MYP!$M$9)</f>
        <v>438.3850248</v>
      </c>
      <c r="K60" s="39">
        <f>+'FY24'!K60*(1+MYP!$M$9)</f>
        <v>438.3850248</v>
      </c>
      <c r="L60" s="39">
        <f>+'FY24'!L60*(1+MYP!$M$9)</f>
        <v>438.3850248</v>
      </c>
      <c r="M60" s="39">
        <f>+'FY24'!M60*(1+MYP!$M$9)</f>
        <v>438.3850248</v>
      </c>
      <c r="N60" s="39">
        <f>+'FY24'!N60*(1+MYP!$M$9)</f>
        <v>438.3850248</v>
      </c>
      <c r="O60" s="39">
        <f>+'FY24'!O60*(1+MYP!$M$9)</f>
        <v>438.3850248</v>
      </c>
      <c r="P60" s="39">
        <f>+'FY24'!P60*(1+MYP!$M$9)</f>
        <v>438.3850248</v>
      </c>
      <c r="Q60" s="98"/>
      <c r="R60" s="41"/>
      <c r="S60" s="59">
        <f t="shared" si="17"/>
        <v>5260.6202975999995</v>
      </c>
      <c r="T60" s="41"/>
      <c r="U60" s="39">
        <f>'FY24'!S60</f>
        <v>5157.4708799999999</v>
      </c>
      <c r="V60" s="39">
        <f t="shared" si="18"/>
        <v>-103.14941759999965</v>
      </c>
      <c r="W60" s="39"/>
    </row>
    <row r="61" spans="3:23" s="37" customFormat="1" ht="12" x14ac:dyDescent="0.2">
      <c r="C61" s="200">
        <v>6287</v>
      </c>
      <c r="D61" s="37" t="s">
        <v>227</v>
      </c>
      <c r="E61" s="39">
        <f>+'FY24'!E61*(1+MYP!$M$9)</f>
        <v>438.3850248</v>
      </c>
      <c r="F61" s="39">
        <f>+'FY24'!F61*(1+MYP!$M$9)</f>
        <v>438.3850248</v>
      </c>
      <c r="G61" s="39">
        <f>+'FY24'!G61*(1+MYP!$M$9)</f>
        <v>438.3850248</v>
      </c>
      <c r="H61" s="39">
        <f>+'FY24'!H61*(1+MYP!$M$9)</f>
        <v>438.3850248</v>
      </c>
      <c r="I61" s="39">
        <f>+'FY24'!I61*(1+MYP!$M$9)</f>
        <v>438.3850248</v>
      </c>
      <c r="J61" s="39">
        <f>+'FY24'!J61*(1+MYP!$M$9)</f>
        <v>438.3850248</v>
      </c>
      <c r="K61" s="39">
        <f>+'FY24'!K61*(1+MYP!$M$9)</f>
        <v>438.3850248</v>
      </c>
      <c r="L61" s="39">
        <f>+'FY24'!L61*(1+MYP!$M$9)</f>
        <v>438.3850248</v>
      </c>
      <c r="M61" s="39">
        <f>+'FY24'!M61*(1+MYP!$M$9)</f>
        <v>438.3850248</v>
      </c>
      <c r="N61" s="39">
        <f>+'FY24'!N61*(1+MYP!$M$9)</f>
        <v>438.3850248</v>
      </c>
      <c r="O61" s="39">
        <f>+'FY24'!O61*(1+MYP!$M$9)</f>
        <v>438.3850248</v>
      </c>
      <c r="P61" s="39">
        <f>+'FY24'!P61*(1+MYP!$M$9)</f>
        <v>438.3850248</v>
      </c>
      <c r="Q61" s="98"/>
      <c r="R61" s="41"/>
      <c r="S61" s="59">
        <f t="shared" si="17"/>
        <v>5260.6202975999995</v>
      </c>
      <c r="T61" s="41"/>
      <c r="U61" s="39">
        <f>'FY24'!S61</f>
        <v>5157.4708799999999</v>
      </c>
      <c r="V61" s="39">
        <f t="shared" si="18"/>
        <v>-103.14941759999965</v>
      </c>
      <c r="W61" s="39"/>
    </row>
    <row r="62" spans="3:23" s="37" customFormat="1" ht="12" x14ac:dyDescent="0.2">
      <c r="C62" s="38"/>
      <c r="E62" s="50">
        <f t="shared" ref="E62:P62" si="19">SUBTOTAL(9,E43:E61)</f>
        <v>7658.960885164277</v>
      </c>
      <c r="F62" s="50">
        <f t="shared" si="19"/>
        <v>7658.960885164277</v>
      </c>
      <c r="G62" s="50">
        <f t="shared" si="19"/>
        <v>7708.8561367955563</v>
      </c>
      <c r="H62" s="50">
        <f t="shared" si="19"/>
        <v>7705.261920808276</v>
      </c>
      <c r="I62" s="50">
        <f t="shared" si="19"/>
        <v>7684.5284739995568</v>
      </c>
      <c r="J62" s="50">
        <f t="shared" si="19"/>
        <v>7669.9475715882763</v>
      </c>
      <c r="K62" s="50">
        <f t="shared" si="19"/>
        <v>7684.5284739995568</v>
      </c>
      <c r="L62" s="50">
        <f t="shared" si="19"/>
        <v>7694.2752343842767</v>
      </c>
      <c r="M62" s="50">
        <f t="shared" si="19"/>
        <v>7708.8561367955563</v>
      </c>
      <c r="N62" s="50">
        <f t="shared" si="19"/>
        <v>7673.5417875755566</v>
      </c>
      <c r="O62" s="50">
        <f t="shared" si="19"/>
        <v>7658.960885164277</v>
      </c>
      <c r="P62" s="50">
        <f t="shared" si="19"/>
        <v>7694.2752343842767</v>
      </c>
      <c r="Q62" s="99"/>
      <c r="R62" s="41"/>
      <c r="S62" s="61">
        <f>SUBTOTAL(9,S43:S61)</f>
        <v>92200.953625823749</v>
      </c>
      <c r="T62" s="41"/>
      <c r="U62" s="50">
        <f>SUBTOTAL(9,U43:U61)</f>
        <v>90393.09179002326</v>
      </c>
      <c r="V62" s="50">
        <f>SUBTOTAL(9,V43:V61)</f>
        <v>-1807.8618358004614</v>
      </c>
      <c r="W62" s="39"/>
    </row>
    <row r="63" spans="3:23" s="37" customFormat="1" ht="12" x14ac:dyDescent="0.2">
      <c r="C63" s="49" t="s">
        <v>9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00"/>
      <c r="R63" s="41"/>
      <c r="S63" s="59"/>
      <c r="T63" s="41"/>
      <c r="U63" s="39"/>
      <c r="V63" s="39"/>
      <c r="W63" s="39"/>
    </row>
    <row r="64" spans="3:23" s="37" customFormat="1" ht="12" x14ac:dyDescent="0.2">
      <c r="C64" s="200">
        <v>6300</v>
      </c>
      <c r="D64" s="37" t="s">
        <v>9</v>
      </c>
      <c r="E64" s="39">
        <v>4321.5</v>
      </c>
      <c r="F64" s="39">
        <f>+'FY24'!F64*(1+MYP!$M$10)</f>
        <v>208.36819079999998</v>
      </c>
      <c r="G64" s="39">
        <f>+'FY24'!G64*(1+MYP!$M$10)</f>
        <v>208.36819079999998</v>
      </c>
      <c r="H64" s="39">
        <f>+'FY24'!H64*(1+MYP!$M$10)</f>
        <v>208.36819079999998</v>
      </c>
      <c r="I64" s="39">
        <f>+'FY24'!I64*(1+MYP!$M$10)</f>
        <v>208.36819079999998</v>
      </c>
      <c r="J64" s="39">
        <f>+'FY24'!J64*(1+MYP!$M$10)</f>
        <v>208.36819079999998</v>
      </c>
      <c r="K64" s="39">
        <f>+'FY24'!K64*(1+MYP!$M$10)</f>
        <v>208.36819079999998</v>
      </c>
      <c r="L64" s="39">
        <f>+'FY24'!L64*(1+MYP!$M$10)</f>
        <v>208.36819079999998</v>
      </c>
      <c r="M64" s="39">
        <f>+'FY24'!M64*(1+MYP!$M$10)</f>
        <v>208.36819079999998</v>
      </c>
      <c r="N64" s="39">
        <f>+'FY24'!N64*(1+MYP!$M$10)</f>
        <v>208.36819079999998</v>
      </c>
      <c r="O64" s="39">
        <f>+'FY24'!O64*(1+MYP!$M$10)</f>
        <v>208.36819079999998</v>
      </c>
      <c r="P64" s="39">
        <f>+'FY24'!P64*(1+MYP!$M$10)</f>
        <v>208.36819079999998</v>
      </c>
      <c r="Q64" s="100"/>
      <c r="R64" s="41"/>
      <c r="S64" s="59">
        <f t="shared" ref="S64:S73" si="20">SUM(E64:Q64)</f>
        <v>6613.5500987999985</v>
      </c>
      <c r="T64" s="41"/>
      <c r="U64" s="39">
        <f>'FY24'!S64</f>
        <v>6568.6079400000017</v>
      </c>
      <c r="V64" s="39">
        <f t="shared" ref="V64:V73" si="21">U64-S64</f>
        <v>-44.942158799996832</v>
      </c>
      <c r="W64" s="39"/>
    </row>
    <row r="65" spans="3:23" s="37" customFormat="1" ht="12" x14ac:dyDescent="0.2">
      <c r="C65" s="200">
        <v>6320</v>
      </c>
      <c r="D65" s="37" t="s">
        <v>10</v>
      </c>
      <c r="E65" s="39">
        <f>+'FY24'!E65*(1+MYP!$M$10)</f>
        <v>225.50670000000002</v>
      </c>
      <c r="F65" s="39">
        <f>+'FY24'!F65*(1+MYP!$M$10)</f>
        <v>225.50670000000002</v>
      </c>
      <c r="G65" s="39">
        <f>+'FY24'!G65*(1+MYP!$M$10)</f>
        <v>225.50670000000002</v>
      </c>
      <c r="H65" s="39">
        <f>+'FY24'!H65*(1+MYP!$M$10)</f>
        <v>225.50670000000002</v>
      </c>
      <c r="I65" s="39">
        <f>+'FY24'!I65*(1+MYP!$M$10)</f>
        <v>225.50670000000002</v>
      </c>
      <c r="J65" s="39">
        <f>+'FY24'!J65*(1+MYP!$M$10)</f>
        <v>225.50670000000002</v>
      </c>
      <c r="K65" s="39">
        <f>+'FY24'!K65*(1+MYP!$M$10)</f>
        <v>225.50670000000002</v>
      </c>
      <c r="L65" s="39">
        <f>+'FY24'!L65*(1+MYP!$M$10)</f>
        <v>225.50670000000002</v>
      </c>
      <c r="M65" s="39">
        <f>+'FY24'!M65*(1+MYP!$M$10)</f>
        <v>225.50670000000002</v>
      </c>
      <c r="N65" s="39">
        <f>+'FY24'!N65*(1+MYP!$M$10)</f>
        <v>225.50670000000002</v>
      </c>
      <c r="O65" s="39">
        <f>+'FY24'!O65*(1+MYP!$M$10)</f>
        <v>225.50670000000002</v>
      </c>
      <c r="P65" s="39">
        <f>+'FY24'!P65*(1+MYP!$M$10)</f>
        <v>225.50670000000002</v>
      </c>
      <c r="Q65" s="100"/>
      <c r="R65" s="41"/>
      <c r="S65" s="59">
        <f t="shared" si="20"/>
        <v>2706.0803999999994</v>
      </c>
      <c r="T65" s="41"/>
      <c r="U65" s="39">
        <f>'FY24'!S65</f>
        <v>2653.02</v>
      </c>
      <c r="V65" s="39">
        <f t="shared" si="21"/>
        <v>-53.06039999999939</v>
      </c>
      <c r="W65" s="39"/>
    </row>
    <row r="66" spans="3:23" s="37" customFormat="1" ht="12" x14ac:dyDescent="0.2">
      <c r="C66" s="200">
        <v>6331</v>
      </c>
      <c r="D66" s="37" t="s">
        <v>11</v>
      </c>
      <c r="E66" s="39">
        <f>+'FY24'!E66*(1+MYP!$M$10)</f>
        <v>90.202680000000001</v>
      </c>
      <c r="F66" s="39">
        <f>+'FY24'!F66*(1+MYP!$M$10)</f>
        <v>90.202680000000001</v>
      </c>
      <c r="G66" s="39">
        <f>+'FY24'!G66*(1+MYP!$M$10)</f>
        <v>90.202680000000001</v>
      </c>
      <c r="H66" s="39">
        <f>+'FY24'!H66*(1+MYP!$M$10)</f>
        <v>90.202680000000001</v>
      </c>
      <c r="I66" s="39">
        <f>+'FY24'!I66*(1+MYP!$M$10)</f>
        <v>90.202680000000001</v>
      </c>
      <c r="J66" s="39">
        <f>+'FY24'!J66*(1+MYP!$M$10)</f>
        <v>90.202680000000001</v>
      </c>
      <c r="K66" s="39">
        <f>+'FY24'!K66*(1+MYP!$M$10)</f>
        <v>90.202680000000001</v>
      </c>
      <c r="L66" s="39">
        <f>+'FY24'!L66*(1+MYP!$M$10)</f>
        <v>90.202680000000001</v>
      </c>
      <c r="M66" s="39">
        <f>+'FY24'!M66*(1+MYP!$M$10)</f>
        <v>90.202680000000001</v>
      </c>
      <c r="N66" s="39">
        <f>+'FY24'!N66*(1+MYP!$M$10)</f>
        <v>90.202680000000001</v>
      </c>
      <c r="O66" s="39">
        <f>+'FY24'!O66*(1+MYP!$M$10)</f>
        <v>90.202680000000001</v>
      </c>
      <c r="P66" s="39">
        <f>+'FY24'!P66*(1+MYP!$M$10)</f>
        <v>90.202680000000001</v>
      </c>
      <c r="Q66" s="100"/>
      <c r="R66" s="41"/>
      <c r="S66" s="59">
        <f t="shared" si="20"/>
        <v>1082.4321600000001</v>
      </c>
      <c r="T66" s="41"/>
      <c r="U66" s="39">
        <f>'FY24'!S66</f>
        <v>1061.2079999999999</v>
      </c>
      <c r="V66" s="39">
        <f t="shared" si="21"/>
        <v>-21.224160000000211</v>
      </c>
      <c r="W66" s="39"/>
    </row>
    <row r="67" spans="3:23" s="37" customFormat="1" ht="12" x14ac:dyDescent="0.2">
      <c r="C67" s="200">
        <v>6334</v>
      </c>
      <c r="D67" s="37" t="s">
        <v>12</v>
      </c>
      <c r="E67" s="39">
        <f>+'FY24'!E67*(1+MYP!$M$10)</f>
        <v>67.652010000000004</v>
      </c>
      <c r="F67" s="39">
        <f>+'FY24'!F67*(1+MYP!$M$10)</f>
        <v>67.652010000000004</v>
      </c>
      <c r="G67" s="39">
        <f>+'FY24'!G67*(1+MYP!$M$10)</f>
        <v>67.652010000000004</v>
      </c>
      <c r="H67" s="39">
        <f>+'FY24'!H67*(1+MYP!$M$10)</f>
        <v>67.652010000000004</v>
      </c>
      <c r="I67" s="39">
        <f>+'FY24'!I67*(1+MYP!$M$10)</f>
        <v>67.652010000000004</v>
      </c>
      <c r="J67" s="39">
        <f>+'FY24'!J67*(1+MYP!$M$10)</f>
        <v>67.652010000000004</v>
      </c>
      <c r="K67" s="39">
        <f>+'FY24'!K67*(1+MYP!$M$10)</f>
        <v>67.652010000000004</v>
      </c>
      <c r="L67" s="39">
        <f>+'FY24'!L67*(1+MYP!$M$10)</f>
        <v>67.652010000000004</v>
      </c>
      <c r="M67" s="39">
        <f>+'FY24'!M67*(1+MYP!$M$10)</f>
        <v>67.652010000000004</v>
      </c>
      <c r="N67" s="39">
        <f>+'FY24'!N67*(1+MYP!$M$10)</f>
        <v>67.652010000000004</v>
      </c>
      <c r="O67" s="39">
        <f>+'FY24'!O67*(1+MYP!$M$10)</f>
        <v>67.652010000000004</v>
      </c>
      <c r="P67" s="39">
        <f>+'FY24'!P67*(1+MYP!$M$10)</f>
        <v>67.652010000000004</v>
      </c>
      <c r="Q67" s="100"/>
      <c r="R67" s="41"/>
      <c r="S67" s="59">
        <f t="shared" si="20"/>
        <v>811.82412000000011</v>
      </c>
      <c r="T67" s="41"/>
      <c r="U67" s="39">
        <f>'FY24'!S67</f>
        <v>795.90600000000029</v>
      </c>
      <c r="V67" s="39">
        <f t="shared" si="21"/>
        <v>-15.918119999999817</v>
      </c>
      <c r="W67" s="39"/>
    </row>
    <row r="68" spans="3:23" s="37" customFormat="1" ht="12" x14ac:dyDescent="0.2">
      <c r="C68" s="200">
        <v>6336</v>
      </c>
      <c r="D68" s="37" t="s">
        <v>13</v>
      </c>
      <c r="E68" s="39">
        <f>+'FY24'!E68*(1+MYP!$M$10)</f>
        <v>0</v>
      </c>
      <c r="F68" s="39">
        <f>+'FY24'!F68*(1+MYP!$M$10)</f>
        <v>0</v>
      </c>
      <c r="G68" s="39">
        <f>+'FY24'!G68*(1+MYP!$M$10)</f>
        <v>0</v>
      </c>
      <c r="H68" s="39">
        <f>+'FY24'!H68*(1+MYP!$M$10)</f>
        <v>0</v>
      </c>
      <c r="I68" s="39">
        <f>+'FY24'!I68*(1+MYP!$M$10)</f>
        <v>0</v>
      </c>
      <c r="J68" s="39">
        <f>+'FY24'!J68*(1+MYP!$M$10)</f>
        <v>0</v>
      </c>
      <c r="K68" s="39">
        <f>+'FY24'!K68*(1+MYP!$M$10)</f>
        <v>0</v>
      </c>
      <c r="L68" s="39">
        <f>+'FY24'!L68*(1+MYP!$M$10)</f>
        <v>0</v>
      </c>
      <c r="M68" s="39">
        <f>+'FY24'!M68*(1+MYP!$M$10)</f>
        <v>0</v>
      </c>
      <c r="N68" s="39">
        <f>+'FY24'!N68*(1+MYP!$M$10)</f>
        <v>0</v>
      </c>
      <c r="O68" s="39">
        <f>+'FY24'!O68*(1+MYP!$M$10)</f>
        <v>0</v>
      </c>
      <c r="P68" s="39">
        <f>+'FY24'!P68*(1+MYP!$M$10)</f>
        <v>0</v>
      </c>
      <c r="Q68" s="100"/>
      <c r="R68" s="41"/>
      <c r="S68" s="59">
        <f t="shared" si="20"/>
        <v>0</v>
      </c>
      <c r="T68" s="41"/>
      <c r="U68" s="39">
        <f>'FY24'!S68</f>
        <v>0</v>
      </c>
      <c r="V68" s="39">
        <f t="shared" si="21"/>
        <v>0</v>
      </c>
      <c r="W68" s="39"/>
    </row>
    <row r="69" spans="3:23" s="37" customFormat="1" ht="12" x14ac:dyDescent="0.2">
      <c r="C69" s="200">
        <v>6337</v>
      </c>
      <c r="D69" s="37" t="s">
        <v>14</v>
      </c>
      <c r="E69" s="39">
        <f>+'FY24'!E69*(1+MYP!$M$10)</f>
        <v>45.10134</v>
      </c>
      <c r="F69" s="39">
        <f>+'FY24'!F69*(1+MYP!$M$10)</f>
        <v>45.10134</v>
      </c>
      <c r="G69" s="39">
        <f>+'FY24'!G69*(1+MYP!$M$10)</f>
        <v>45.10134</v>
      </c>
      <c r="H69" s="39">
        <f>+'FY24'!H69*(1+MYP!$M$10)</f>
        <v>45.10134</v>
      </c>
      <c r="I69" s="39">
        <f>+'FY24'!I69*(1+MYP!$M$10)</f>
        <v>45.10134</v>
      </c>
      <c r="J69" s="39">
        <f>+'FY24'!J69*(1+MYP!$M$10)</f>
        <v>45.10134</v>
      </c>
      <c r="K69" s="39">
        <f>+'FY24'!K69*(1+MYP!$M$10)</f>
        <v>45.10134</v>
      </c>
      <c r="L69" s="39">
        <f>+'FY24'!L69*(1+MYP!$M$10)</f>
        <v>45.10134</v>
      </c>
      <c r="M69" s="39">
        <f>+'FY24'!M69*(1+MYP!$M$10)</f>
        <v>45.10134</v>
      </c>
      <c r="N69" s="39">
        <f>+'FY24'!N69*(1+MYP!$M$10)</f>
        <v>45.10134</v>
      </c>
      <c r="O69" s="39">
        <f>+'FY24'!O69*(1+MYP!$M$10)</f>
        <v>45.10134</v>
      </c>
      <c r="P69" s="39">
        <f>+'FY24'!P69*(1+MYP!$M$10)</f>
        <v>45.10134</v>
      </c>
      <c r="Q69" s="100"/>
      <c r="R69" s="41"/>
      <c r="S69" s="59">
        <f t="shared" si="20"/>
        <v>541.21608000000003</v>
      </c>
      <c r="T69" s="41"/>
      <c r="U69" s="39">
        <f>'FY24'!S69</f>
        <v>530.60399999999993</v>
      </c>
      <c r="V69" s="39">
        <f t="shared" si="21"/>
        <v>-10.612080000000105</v>
      </c>
      <c r="W69" s="39"/>
    </row>
    <row r="70" spans="3:23" s="37" customFormat="1" ht="12" x14ac:dyDescent="0.2">
      <c r="C70" s="200">
        <v>6340</v>
      </c>
      <c r="D70" s="37" t="s">
        <v>15</v>
      </c>
      <c r="E70" s="39">
        <f>+'FY24'!E70*(1+MYP!$M$10)</f>
        <v>2630.3101487999998</v>
      </c>
      <c r="F70" s="39">
        <f>+'FY24'!F70*(1+MYP!$M$10)</f>
        <v>2630.3101487999998</v>
      </c>
      <c r="G70" s="39">
        <f>+'FY24'!G70*(1+MYP!$M$10)</f>
        <v>2630.3101487999998</v>
      </c>
      <c r="H70" s="39">
        <f>+'FY24'!H70*(1+MYP!$M$10)</f>
        <v>2630.3101487999998</v>
      </c>
      <c r="I70" s="39">
        <f>+'FY24'!I70*(1+MYP!$M$10)</f>
        <v>2630.3101487999998</v>
      </c>
      <c r="J70" s="39">
        <f>+'FY24'!J70*(1+MYP!$M$10)</f>
        <v>2630.3101487999998</v>
      </c>
      <c r="K70" s="39">
        <f>+'FY24'!K70*(1+MYP!$M$10)</f>
        <v>2630.3101487999998</v>
      </c>
      <c r="L70" s="39">
        <f>+'FY24'!L70*(1+MYP!$M$10)</f>
        <v>2630.3101487999998</v>
      </c>
      <c r="M70" s="39">
        <f>+'FY24'!M70*(1+MYP!$M$10)</f>
        <v>2630.3101487999998</v>
      </c>
      <c r="N70" s="39">
        <f>+'FY24'!N70*(1+MYP!$M$10)</f>
        <v>2630.3101487999998</v>
      </c>
      <c r="O70" s="39">
        <f>+'FY24'!O70*(1+MYP!$M$10)</f>
        <v>2630.3101487999998</v>
      </c>
      <c r="P70" s="39">
        <f>+'FY24'!P70*(1+MYP!$M$10)</f>
        <v>2630.3101487999998</v>
      </c>
      <c r="Q70" s="100"/>
      <c r="R70" s="41"/>
      <c r="S70" s="59">
        <f t="shared" si="20"/>
        <v>31563.721785599995</v>
      </c>
      <c r="T70" s="41"/>
      <c r="U70" s="39">
        <f>'FY24'!S70</f>
        <v>30944.825280000001</v>
      </c>
      <c r="V70" s="39">
        <f t="shared" si="21"/>
        <v>-618.89650559999427</v>
      </c>
      <c r="W70" s="39"/>
    </row>
    <row r="71" spans="3:23" s="37" customFormat="1" ht="12" x14ac:dyDescent="0.2">
      <c r="C71" s="200">
        <v>6345</v>
      </c>
      <c r="D71" s="37" t="s">
        <v>16</v>
      </c>
      <c r="E71" s="39">
        <f>+'FY24'!E71*(1+MYP!$M$10)</f>
        <v>0</v>
      </c>
      <c r="F71" s="39">
        <f>+'FY24'!F71*(1+MYP!$M$10)</f>
        <v>0</v>
      </c>
      <c r="G71" s="39">
        <f>+'FY24'!G71*(1+MYP!$M$10)</f>
        <v>0</v>
      </c>
      <c r="H71" s="39">
        <f>+'FY24'!H71*(1+MYP!$M$10)</f>
        <v>0</v>
      </c>
      <c r="I71" s="39">
        <f>+'FY24'!I71*(1+MYP!$M$10)</f>
        <v>0</v>
      </c>
      <c r="J71" s="39">
        <f>+'FY24'!J71*(1+MYP!$M$10)</f>
        <v>0</v>
      </c>
      <c r="K71" s="39">
        <f>+'FY24'!K71*(1+MYP!$M$10)</f>
        <v>0</v>
      </c>
      <c r="L71" s="39">
        <f>+'FY24'!L71*(1+MYP!$M$10)</f>
        <v>0</v>
      </c>
      <c r="M71" s="39">
        <f>+'FY24'!M71*(1+MYP!$M$10)</f>
        <v>0</v>
      </c>
      <c r="N71" s="39">
        <f>+'FY24'!N71*(1+MYP!$M$10)</f>
        <v>0</v>
      </c>
      <c r="O71" s="39">
        <f>+'FY24'!O71*(1+MYP!$M$10)</f>
        <v>0</v>
      </c>
      <c r="P71" s="39">
        <f>+'FY24'!P71*(1+MYP!$M$10)</f>
        <v>0</v>
      </c>
      <c r="Q71" s="100"/>
      <c r="R71" s="41"/>
      <c r="S71" s="59">
        <f t="shared" si="20"/>
        <v>0</v>
      </c>
      <c r="T71" s="41"/>
      <c r="U71" s="39">
        <f>'FY24'!S71</f>
        <v>0</v>
      </c>
      <c r="V71" s="39">
        <f t="shared" si="21"/>
        <v>0</v>
      </c>
      <c r="W71" s="39"/>
    </row>
    <row r="72" spans="3:23" s="37" customFormat="1" ht="12" x14ac:dyDescent="0.2">
      <c r="C72" s="200">
        <v>6350</v>
      </c>
      <c r="D72" s="37" t="s">
        <v>17</v>
      </c>
      <c r="E72" s="39">
        <f>+'FY24'!E72*(1+MYP!$M$10)</f>
        <v>180.40536</v>
      </c>
      <c r="F72" s="39">
        <f>+'FY24'!F72*(1+MYP!$M$10)</f>
        <v>180.40536</v>
      </c>
      <c r="G72" s="39">
        <f>+'FY24'!G72*(1+MYP!$M$10)</f>
        <v>180.40536</v>
      </c>
      <c r="H72" s="39">
        <f>+'FY24'!H72*(1+MYP!$M$10)</f>
        <v>180.40536</v>
      </c>
      <c r="I72" s="39">
        <f>+'FY24'!I72*(1+MYP!$M$10)</f>
        <v>180.40536</v>
      </c>
      <c r="J72" s="39">
        <f>+'FY24'!J72*(1+MYP!$M$10)</f>
        <v>180.40536</v>
      </c>
      <c r="K72" s="39">
        <f>+'FY24'!K72*(1+MYP!$M$10)</f>
        <v>180.40536</v>
      </c>
      <c r="L72" s="39">
        <f>+'FY24'!L72*(1+MYP!$M$10)</f>
        <v>180.40536</v>
      </c>
      <c r="M72" s="39">
        <f>+'FY24'!M72*(1+MYP!$M$10)</f>
        <v>180.40536</v>
      </c>
      <c r="N72" s="39">
        <f>+'FY24'!N72*(1+MYP!$M$10)</f>
        <v>180.40536</v>
      </c>
      <c r="O72" s="39">
        <f>+'FY24'!O72*(1+MYP!$M$10)</f>
        <v>180.40536</v>
      </c>
      <c r="P72" s="39">
        <f>+'FY24'!P72*(1+MYP!$M$10)</f>
        <v>180.40536</v>
      </c>
      <c r="Q72" s="100"/>
      <c r="R72" s="41"/>
      <c r="S72" s="59">
        <f t="shared" si="20"/>
        <v>2164.8643200000001</v>
      </c>
      <c r="T72" s="41"/>
      <c r="U72" s="39">
        <f>'FY24'!S72</f>
        <v>2122.4159999999997</v>
      </c>
      <c r="V72" s="39">
        <f t="shared" si="21"/>
        <v>-42.448320000000422</v>
      </c>
      <c r="W72" s="39"/>
    </row>
    <row r="73" spans="3:23" s="37" customFormat="1" ht="12" x14ac:dyDescent="0.2">
      <c r="C73" s="200">
        <v>6351</v>
      </c>
      <c r="D73" s="37" t="s">
        <v>18</v>
      </c>
      <c r="E73" s="39">
        <f>+'FY24'!E73*(1+MYP!$M$10)</f>
        <v>0</v>
      </c>
      <c r="F73" s="39">
        <f>+'FY24'!F73*(1+MYP!$M$10)</f>
        <v>0</v>
      </c>
      <c r="G73" s="39">
        <f>+'FY24'!G73*(1+MYP!$M$10)</f>
        <v>0</v>
      </c>
      <c r="H73" s="39">
        <f>+'FY24'!H73*(1+MYP!$M$10)</f>
        <v>0</v>
      </c>
      <c r="I73" s="39">
        <f>+'FY24'!I73*(1+MYP!$M$10)</f>
        <v>0</v>
      </c>
      <c r="J73" s="39">
        <f>+'FY24'!J73*(1+MYP!$M$10)</f>
        <v>0</v>
      </c>
      <c r="K73" s="39">
        <f>+'FY24'!K73*(1+MYP!$M$10)</f>
        <v>0</v>
      </c>
      <c r="L73" s="39">
        <f>+'FY24'!L73*(1+MYP!$M$10)</f>
        <v>0</v>
      </c>
      <c r="M73" s="39">
        <f>+'FY24'!M73*(1+MYP!$M$10)</f>
        <v>0</v>
      </c>
      <c r="N73" s="39">
        <f>+'FY24'!N73*(1+MYP!$M$10)</f>
        <v>0</v>
      </c>
      <c r="O73" s="39">
        <f>+'FY24'!O73*(1+MYP!$M$10)</f>
        <v>0</v>
      </c>
      <c r="P73" s="39">
        <f>+'FY24'!P73*(1+MYP!$M$10)</f>
        <v>0</v>
      </c>
      <c r="Q73" s="100"/>
      <c r="R73" s="41"/>
      <c r="S73" s="59">
        <f t="shared" si="20"/>
        <v>0</v>
      </c>
      <c r="T73" s="41"/>
      <c r="U73" s="39">
        <f>'FY24'!S73</f>
        <v>0</v>
      </c>
      <c r="V73" s="39">
        <f t="shared" si="21"/>
        <v>0</v>
      </c>
      <c r="W73" s="39"/>
    </row>
    <row r="74" spans="3:23" s="37" customFormat="1" ht="12" x14ac:dyDescent="0.2">
      <c r="C74" s="38"/>
      <c r="E74" s="50">
        <f>SUBTOTAL(9,E64:E73)</f>
        <v>7560.6782388000001</v>
      </c>
      <c r="F74" s="50">
        <f t="shared" ref="F74:V74" si="22">SUBTOTAL(9,F64:F73)</f>
        <v>3447.5464296</v>
      </c>
      <c r="G74" s="50">
        <f t="shared" si="22"/>
        <v>3447.5464296</v>
      </c>
      <c r="H74" s="50">
        <f t="shared" si="22"/>
        <v>3447.5464296</v>
      </c>
      <c r="I74" s="50">
        <f t="shared" si="22"/>
        <v>3447.5464296</v>
      </c>
      <c r="J74" s="50">
        <f t="shared" si="22"/>
        <v>3447.5464296</v>
      </c>
      <c r="K74" s="50">
        <f t="shared" si="22"/>
        <v>3447.5464296</v>
      </c>
      <c r="L74" s="50">
        <f t="shared" si="22"/>
        <v>3447.5464296</v>
      </c>
      <c r="M74" s="50">
        <f t="shared" si="22"/>
        <v>3447.5464296</v>
      </c>
      <c r="N74" s="50">
        <f t="shared" si="22"/>
        <v>3447.5464296</v>
      </c>
      <c r="O74" s="50">
        <f t="shared" si="22"/>
        <v>3447.5464296</v>
      </c>
      <c r="P74" s="50">
        <f t="shared" si="22"/>
        <v>3447.5464296</v>
      </c>
      <c r="Q74" s="99"/>
      <c r="R74" s="41"/>
      <c r="S74" s="61">
        <f t="shared" si="22"/>
        <v>45483.688964399997</v>
      </c>
      <c r="T74" s="41"/>
      <c r="U74" s="50">
        <f t="shared" si="22"/>
        <v>44676.587220000001</v>
      </c>
      <c r="V74" s="50">
        <f t="shared" si="22"/>
        <v>-807.10174439999105</v>
      </c>
      <c r="W74" s="39"/>
    </row>
    <row r="75" spans="3:23" s="37" customFormat="1" ht="12" x14ac:dyDescent="0.2">
      <c r="C75" s="49" t="s">
        <v>100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100"/>
      <c r="R75" s="41"/>
      <c r="S75" s="59"/>
      <c r="T75" s="41"/>
      <c r="U75" s="39"/>
      <c r="V75" s="39"/>
      <c r="W75" s="39"/>
    </row>
    <row r="76" spans="3:23" s="37" customFormat="1" ht="12" x14ac:dyDescent="0.2">
      <c r="C76" s="200">
        <v>6410</v>
      </c>
      <c r="D76" s="37" t="s">
        <v>19</v>
      </c>
      <c r="E76" s="39">
        <f>+'FY24'!E76*(1+MYP!$M$10)</f>
        <v>216.48643200000001</v>
      </c>
      <c r="F76" s="39">
        <f>+'FY24'!F76*(1+MYP!$M$10)</f>
        <v>216.48643200000001</v>
      </c>
      <c r="G76" s="39">
        <f>+'FY24'!G76*(1+MYP!$M$10)</f>
        <v>216.48643200000001</v>
      </c>
      <c r="H76" s="39">
        <f>+'FY24'!H76*(1+MYP!$M$10)</f>
        <v>216.48643200000001</v>
      </c>
      <c r="I76" s="39">
        <f>+'FY24'!I76*(1+MYP!$M$10)</f>
        <v>216.48643200000001</v>
      </c>
      <c r="J76" s="39">
        <f>+'FY24'!J76*(1+MYP!$M$10)</f>
        <v>216.48643200000001</v>
      </c>
      <c r="K76" s="39">
        <f>+'FY24'!K76*(1+MYP!$M$10)</f>
        <v>216.48643200000001</v>
      </c>
      <c r="L76" s="39">
        <f>+'FY24'!L76*(1+MYP!$M$10)</f>
        <v>216.48643200000001</v>
      </c>
      <c r="M76" s="39">
        <f>+'FY24'!M76*(1+MYP!$M$10)</f>
        <v>216.48643200000001</v>
      </c>
      <c r="N76" s="39">
        <f>+'FY24'!N76*(1+MYP!$M$10)</f>
        <v>216.48643200000001</v>
      </c>
      <c r="O76" s="39">
        <f>+'FY24'!O76*(1+MYP!$M$10)</f>
        <v>216.48643200000001</v>
      </c>
      <c r="P76" s="39">
        <f>+'FY24'!P76*(1+MYP!$M$10)</f>
        <v>216.48643200000001</v>
      </c>
      <c r="Q76" s="100"/>
      <c r="R76" s="41"/>
      <c r="S76" s="59">
        <f t="shared" ref="S76:S79" si="23">SUM(E76:Q76)</f>
        <v>2597.837184</v>
      </c>
      <c r="T76" s="41"/>
      <c r="U76" s="39">
        <f>'FY24'!S76</f>
        <v>2546.8991999999998</v>
      </c>
      <c r="V76" s="39">
        <f t="shared" ref="V76:V79" si="24">U76-S76</f>
        <v>-50.937984000000142</v>
      </c>
      <c r="W76" s="39"/>
    </row>
    <row r="77" spans="3:23" s="37" customFormat="1" ht="12" x14ac:dyDescent="0.2">
      <c r="C77" s="200">
        <v>6420</v>
      </c>
      <c r="D77" s="37" t="s">
        <v>20</v>
      </c>
      <c r="E77" s="39">
        <f>+'FY24'!E77*(1+MYP!$M$10)</f>
        <v>874.96599600000002</v>
      </c>
      <c r="F77" s="39">
        <f>+'FY24'!F77*(1+MYP!$M$10)</f>
        <v>874.96599600000002</v>
      </c>
      <c r="G77" s="39">
        <f>+'FY24'!G77*(1+MYP!$M$10)</f>
        <v>1795.033332</v>
      </c>
      <c r="H77" s="39">
        <f>+'FY24'!H77*(1+MYP!$M$10)</f>
        <v>874.96599600000002</v>
      </c>
      <c r="I77" s="39">
        <f>+'FY24'!I77*(1+MYP!$M$10)</f>
        <v>874.96599600000002</v>
      </c>
      <c r="J77" s="39">
        <f>+'FY24'!J77*(1+MYP!$M$10)</f>
        <v>1145.574036</v>
      </c>
      <c r="K77" s="39">
        <f>+'FY24'!K77*(1+MYP!$M$10)</f>
        <v>874.96599600000002</v>
      </c>
      <c r="L77" s="39">
        <f>+'FY24'!L77*(1+MYP!$M$10)</f>
        <v>874.96599600000002</v>
      </c>
      <c r="M77" s="39">
        <f>+'FY24'!M77*(1+MYP!$M$10)</f>
        <v>1145.574036</v>
      </c>
      <c r="N77" s="39">
        <f>+'FY24'!N77*(1+MYP!$M$10)</f>
        <v>874.96599600000002</v>
      </c>
      <c r="O77" s="39">
        <f>+'FY24'!O77*(1+MYP!$M$10)</f>
        <v>874.96599600000002</v>
      </c>
      <c r="P77" s="39">
        <f>+'FY24'!P77*(1+MYP!$M$10)</f>
        <v>1145.574036</v>
      </c>
      <c r="Q77" s="100"/>
      <c r="R77" s="41"/>
      <c r="S77" s="59">
        <f t="shared" si="23"/>
        <v>12231.483408000002</v>
      </c>
      <c r="T77" s="41"/>
      <c r="U77" s="39">
        <f>'FY24'!S77</f>
        <v>11991.6504</v>
      </c>
      <c r="V77" s="39">
        <f t="shared" si="24"/>
        <v>-239.83300800000143</v>
      </c>
      <c r="W77" s="39"/>
    </row>
    <row r="78" spans="3:23" s="37" customFormat="1" ht="12" x14ac:dyDescent="0.2">
      <c r="C78" s="200">
        <v>6430</v>
      </c>
      <c r="D78" s="37" t="s">
        <v>21</v>
      </c>
      <c r="E78" s="39">
        <f>+'FY24'!E78*(1+MYP!$M$10)</f>
        <v>57552.917947200003</v>
      </c>
      <c r="F78" s="39">
        <f>+'FY24'!F78*(1+MYP!$M$10)</f>
        <v>54.121608000000002</v>
      </c>
      <c r="G78" s="39">
        <f>+'FY24'!G78*(1+MYP!$M$10)</f>
        <v>541.21608000000003</v>
      </c>
      <c r="H78" s="39">
        <f>+'FY24'!H78*(1+MYP!$M$10)</f>
        <v>985.01326560000007</v>
      </c>
      <c r="I78" s="39">
        <f>+'FY24'!I78*(1+MYP!$M$10)</f>
        <v>54.121608000000002</v>
      </c>
      <c r="J78" s="39">
        <f>+'FY24'!J78*(1+MYP!$M$10)</f>
        <v>541.21608000000003</v>
      </c>
      <c r="K78" s="39">
        <f>+'FY24'!K78*(1+MYP!$M$10)</f>
        <v>54.121608000000002</v>
      </c>
      <c r="L78" s="39">
        <f>+'FY24'!L78*(1+MYP!$M$10)</f>
        <v>54.121608000000002</v>
      </c>
      <c r="M78" s="39">
        <f>+'FY24'!M78*(1+MYP!$M$10)</f>
        <v>541.21608000000003</v>
      </c>
      <c r="N78" s="39">
        <f>+'FY24'!N78*(1+MYP!$M$10)</f>
        <v>54.121608000000002</v>
      </c>
      <c r="O78" s="39">
        <f>+'FY24'!O78*(1+MYP!$M$10)</f>
        <v>1055.3713559999999</v>
      </c>
      <c r="P78" s="39">
        <f>+'FY24'!P78*(1+MYP!$M$10)</f>
        <v>541.21608000000003</v>
      </c>
      <c r="Q78" s="100"/>
      <c r="R78" s="41"/>
      <c r="S78" s="59">
        <f t="shared" si="23"/>
        <v>62028.774928800005</v>
      </c>
      <c r="T78" s="41"/>
      <c r="U78" s="39">
        <f>'FY24'!S78</f>
        <v>60812.524440000008</v>
      </c>
      <c r="V78" s="39">
        <f t="shared" si="24"/>
        <v>-1216.2504887999967</v>
      </c>
      <c r="W78" s="39"/>
    </row>
    <row r="79" spans="3:23" s="37" customFormat="1" ht="12" x14ac:dyDescent="0.2">
      <c r="C79" s="200">
        <v>6441</v>
      </c>
      <c r="D79" s="37" t="s">
        <v>22</v>
      </c>
      <c r="E79" s="39">
        <f>+'FY24'!E79*(1+MYP!$M$10)</f>
        <v>9853.4773713744016</v>
      </c>
      <c r="F79" s="39">
        <f>+'FY24'!F79*(1+MYP!$M$10)</f>
        <v>9853.4773713744016</v>
      </c>
      <c r="G79" s="39">
        <f>+'FY24'!G79*(1+MYP!$M$10)</f>
        <v>9853.4773713744016</v>
      </c>
      <c r="H79" s="39">
        <f>+'FY24'!H79*(1+MYP!$M$10)</f>
        <v>9853.4773713744016</v>
      </c>
      <c r="I79" s="39">
        <f>+'FY24'!I79*(1+MYP!$M$10)</f>
        <v>9853.4773713744016</v>
      </c>
      <c r="J79" s="39">
        <f>+'FY24'!J79*(1+MYP!$M$10)</f>
        <v>9853.4773713744016</v>
      </c>
      <c r="K79" s="39">
        <f>+'FY24'!K79*(1+MYP!$M$10)</f>
        <v>12018.3416913744</v>
      </c>
      <c r="L79" s="39">
        <f>+'FY24'!L79*(1+MYP!$M$10)</f>
        <v>9853.4773713744016</v>
      </c>
      <c r="M79" s="39">
        <f>+'FY24'!M79*(1+MYP!$M$10)</f>
        <v>9853.4773713744016</v>
      </c>
      <c r="N79" s="39">
        <f>+'FY24'!N79*(1+MYP!$M$10)</f>
        <v>9853.4773713744016</v>
      </c>
      <c r="O79" s="39">
        <f>+'FY24'!O79*(1+MYP!$M$10)</f>
        <v>11228.014674072003</v>
      </c>
      <c r="P79" s="39">
        <f>+'FY24'!P79*(1+MYP!$M$10)</f>
        <v>11228.014674072003</v>
      </c>
      <c r="Q79" s="100"/>
      <c r="R79" s="41"/>
      <c r="S79" s="59">
        <f t="shared" si="23"/>
        <v>123155.66738188805</v>
      </c>
      <c r="T79" s="41"/>
      <c r="U79" s="39">
        <f>'FY24'!S79</f>
        <v>120740.85037440003</v>
      </c>
      <c r="V79" s="39">
        <f t="shared" si="24"/>
        <v>-2414.8170074880181</v>
      </c>
      <c r="W79" s="39"/>
    </row>
    <row r="80" spans="3:23" s="37" customFormat="1" ht="12" x14ac:dyDescent="0.2">
      <c r="C80" s="38"/>
      <c r="E80" s="50">
        <f>SUBTOTAL(9,E76:E79)</f>
        <v>68497.847746574407</v>
      </c>
      <c r="F80" s="50">
        <f t="shared" ref="F80:V80" si="25">SUBTOTAL(9,F76:F79)</f>
        <v>10999.051407374402</v>
      </c>
      <c r="G80" s="50">
        <f t="shared" si="25"/>
        <v>12406.213215374402</v>
      </c>
      <c r="H80" s="50">
        <f t="shared" si="25"/>
        <v>11929.943064974403</v>
      </c>
      <c r="I80" s="50">
        <f t="shared" si="25"/>
        <v>10999.051407374402</v>
      </c>
      <c r="J80" s="50">
        <f t="shared" si="25"/>
        <v>11756.753919374401</v>
      </c>
      <c r="K80" s="50">
        <f t="shared" si="25"/>
        <v>13163.9157273744</v>
      </c>
      <c r="L80" s="50">
        <f t="shared" si="25"/>
        <v>10999.051407374402</v>
      </c>
      <c r="M80" s="50">
        <f t="shared" si="25"/>
        <v>11756.753919374401</v>
      </c>
      <c r="N80" s="50">
        <f t="shared" si="25"/>
        <v>10999.051407374402</v>
      </c>
      <c r="O80" s="50">
        <f t="shared" si="25"/>
        <v>13374.838458072003</v>
      </c>
      <c r="P80" s="50">
        <f t="shared" si="25"/>
        <v>13131.291222072003</v>
      </c>
      <c r="Q80" s="99"/>
      <c r="R80" s="41"/>
      <c r="S80" s="61">
        <f t="shared" si="25"/>
        <v>200013.76290268806</v>
      </c>
      <c r="T80" s="41"/>
      <c r="U80" s="50">
        <f t="shared" si="25"/>
        <v>196091.92441440004</v>
      </c>
      <c r="V80" s="50">
        <f t="shared" si="25"/>
        <v>-3921.8384882880164</v>
      </c>
      <c r="W80" s="39"/>
    </row>
    <row r="81" spans="3:23" s="37" customFormat="1" ht="12" x14ac:dyDescent="0.2">
      <c r="C81" s="49" t="s">
        <v>101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00"/>
      <c r="R81" s="41"/>
      <c r="S81" s="59"/>
      <c r="T81" s="41"/>
      <c r="U81" s="39"/>
      <c r="V81" s="39"/>
      <c r="W81" s="39"/>
    </row>
    <row r="82" spans="3:23" s="37" customFormat="1" ht="12" x14ac:dyDescent="0.2">
      <c r="C82" s="200">
        <v>6519</v>
      </c>
      <c r="D82" s="37" t="s">
        <v>234</v>
      </c>
      <c r="E82" s="39">
        <f>+'FY24'!E82*(1+MYP!$M$10)</f>
        <v>36.081072000000006</v>
      </c>
      <c r="F82" s="39">
        <f>+'FY24'!F82*(1+MYP!$M$10)</f>
        <v>36.081072000000006</v>
      </c>
      <c r="G82" s="39">
        <f>+'FY24'!G82*(1+MYP!$M$10)</f>
        <v>36.081072000000006</v>
      </c>
      <c r="H82" s="39">
        <f>+'FY24'!H82*(1+MYP!$M$10)</f>
        <v>36.081072000000006</v>
      </c>
      <c r="I82" s="39">
        <f>+'FY24'!I82*(1+MYP!$M$10)</f>
        <v>36.081072000000006</v>
      </c>
      <c r="J82" s="39">
        <f>+'FY24'!J82*(1+MYP!$M$10)</f>
        <v>36.081072000000006</v>
      </c>
      <c r="K82" s="39">
        <f>+'FY24'!K82*(1+MYP!$M$10)</f>
        <v>36.081072000000006</v>
      </c>
      <c r="L82" s="39">
        <f>+'FY24'!L82*(1+MYP!$M$10)</f>
        <v>36.081072000000006</v>
      </c>
      <c r="M82" s="39">
        <f>+'FY24'!M82*(1+MYP!$M$10)</f>
        <v>36.081072000000006</v>
      </c>
      <c r="N82" s="39">
        <f>+'FY24'!N82*(1+MYP!$M$10)</f>
        <v>36.081072000000006</v>
      </c>
      <c r="O82" s="39">
        <f>+'FY24'!O82*(1+MYP!$M$10)</f>
        <v>36.081072000000006</v>
      </c>
      <c r="P82" s="39">
        <f>+'FY24'!P82*(1+MYP!$M$10)</f>
        <v>36.081072000000006</v>
      </c>
      <c r="Q82" s="100"/>
      <c r="R82" s="41"/>
      <c r="S82" s="59">
        <f t="shared" ref="S82:S93" si="26">SUM(E82:Q82)</f>
        <v>432.97286400000007</v>
      </c>
      <c r="T82" s="41"/>
      <c r="U82" s="39">
        <f>'FY24'!S82</f>
        <v>424.48320000000007</v>
      </c>
      <c r="V82" s="39">
        <f t="shared" ref="V82:V93" si="27">U82-S82</f>
        <v>-8.4896640000000048</v>
      </c>
      <c r="W82" s="39"/>
    </row>
    <row r="83" spans="3:23" s="37" customFormat="1" ht="12" x14ac:dyDescent="0.2">
      <c r="C83" s="200">
        <v>6521</v>
      </c>
      <c r="D83" s="37" t="s">
        <v>24</v>
      </c>
      <c r="E83" s="39">
        <f>+'FY24'!E83*(1+MYP!$M$10)</f>
        <v>0</v>
      </c>
      <c r="F83" s="39">
        <f>+'FY24'!F83*(1+MYP!$M$10)</f>
        <v>4113.2422079999997</v>
      </c>
      <c r="G83" s="39">
        <f>+'FY24'!G83*(1+MYP!$M$10)</f>
        <v>0</v>
      </c>
      <c r="H83" s="39">
        <f>+'FY24'!H83*(1+MYP!$M$10)</f>
        <v>0</v>
      </c>
      <c r="I83" s="39">
        <f>+'FY24'!I83*(1+MYP!$M$10)</f>
        <v>0</v>
      </c>
      <c r="J83" s="39">
        <f>+'FY24'!J83*(1+MYP!$M$10)</f>
        <v>0</v>
      </c>
      <c r="K83" s="39">
        <f>+'FY24'!K83*(1+MYP!$M$10)</f>
        <v>0</v>
      </c>
      <c r="L83" s="39">
        <f>+'FY24'!L83*(1+MYP!$M$10)</f>
        <v>0</v>
      </c>
      <c r="M83" s="39">
        <f>+'FY24'!M83*(1+MYP!$M$10)</f>
        <v>0</v>
      </c>
      <c r="N83" s="39">
        <f>+'FY24'!N83*(1+MYP!$M$10)</f>
        <v>0</v>
      </c>
      <c r="O83" s="39">
        <f>+'FY24'!O83*(1+MYP!$M$10)</f>
        <v>0</v>
      </c>
      <c r="P83" s="39">
        <f>+'FY24'!P83*(1+MYP!$M$10)</f>
        <v>0</v>
      </c>
      <c r="Q83" s="100"/>
      <c r="R83" s="41"/>
      <c r="S83" s="59">
        <f t="shared" si="26"/>
        <v>4113.2422079999997</v>
      </c>
      <c r="T83" s="41"/>
      <c r="U83" s="39">
        <f>'FY24'!S83</f>
        <v>4032.5904</v>
      </c>
      <c r="V83" s="39">
        <f t="shared" si="27"/>
        <v>-80.651807999999619</v>
      </c>
      <c r="W83" s="39"/>
    </row>
    <row r="84" spans="3:23" s="37" customFormat="1" ht="12" x14ac:dyDescent="0.2">
      <c r="C84" s="200">
        <v>6522</v>
      </c>
      <c r="D84" s="37" t="s">
        <v>25</v>
      </c>
      <c r="E84" s="39">
        <f>+'FY24'!E84*(1+MYP!$M$10)</f>
        <v>0</v>
      </c>
      <c r="F84" s="39">
        <f>+'FY24'!F84*(1+MYP!$M$10)</f>
        <v>0</v>
      </c>
      <c r="G84" s="39">
        <f>+'FY24'!G84*(1+MYP!$M$10)</f>
        <v>0</v>
      </c>
      <c r="H84" s="39">
        <f>+'FY24'!H84*(1+MYP!$M$10)</f>
        <v>0</v>
      </c>
      <c r="I84" s="39">
        <f>+'FY24'!I84*(1+MYP!$M$10)</f>
        <v>0</v>
      </c>
      <c r="J84" s="39">
        <f>+'FY24'!J84*(1+MYP!$M$10)</f>
        <v>0</v>
      </c>
      <c r="K84" s="39">
        <f>+'FY24'!K84*(1+MYP!$M$10)</f>
        <v>0</v>
      </c>
      <c r="L84" s="39">
        <f>+'FY24'!L84*(1+MYP!$M$10)</f>
        <v>0</v>
      </c>
      <c r="M84" s="39">
        <f>+'FY24'!M84*(1+MYP!$M$10)</f>
        <v>0</v>
      </c>
      <c r="N84" s="39">
        <f>+'FY24'!N84*(1+MYP!$M$10)</f>
        <v>0</v>
      </c>
      <c r="O84" s="39">
        <f>+'FY24'!O84*(1+MYP!$M$10)</f>
        <v>0</v>
      </c>
      <c r="P84" s="39">
        <f>+'FY24'!P84*(1+MYP!$M$10)</f>
        <v>0</v>
      </c>
      <c r="Q84" s="100"/>
      <c r="R84" s="41"/>
      <c r="S84" s="59">
        <f t="shared" si="26"/>
        <v>0</v>
      </c>
      <c r="T84" s="41"/>
      <c r="U84" s="39">
        <f>'FY24'!S84</f>
        <v>0</v>
      </c>
      <c r="V84" s="39">
        <f t="shared" si="27"/>
        <v>0</v>
      </c>
      <c r="W84" s="39"/>
    </row>
    <row r="85" spans="3:23" s="37" customFormat="1" ht="12" x14ac:dyDescent="0.2">
      <c r="C85" s="200">
        <v>6523</v>
      </c>
      <c r="D85" s="37" t="s">
        <v>26</v>
      </c>
      <c r="E85" s="39">
        <f>+'FY24'!E85*(1+MYP!$M$10)</f>
        <v>0</v>
      </c>
      <c r="F85" s="39">
        <f>+'FY24'!F85*(1+MYP!$M$10)</f>
        <v>0</v>
      </c>
      <c r="G85" s="39">
        <f>+'FY24'!G85*(1+MYP!$M$10)</f>
        <v>0</v>
      </c>
      <c r="H85" s="39">
        <f>+'FY24'!H85*(1+MYP!$M$10)</f>
        <v>0</v>
      </c>
      <c r="I85" s="39">
        <f>+'FY24'!I85*(1+MYP!$M$10)</f>
        <v>0</v>
      </c>
      <c r="J85" s="39">
        <f>+'FY24'!J85*(1+MYP!$M$10)</f>
        <v>0</v>
      </c>
      <c r="K85" s="39">
        <f>+'FY24'!K85*(1+MYP!$M$10)</f>
        <v>0</v>
      </c>
      <c r="L85" s="39">
        <f>+'FY24'!L85*(1+MYP!$M$10)</f>
        <v>0</v>
      </c>
      <c r="M85" s="39">
        <f>+'FY24'!M85*(1+MYP!$M$10)</f>
        <v>0</v>
      </c>
      <c r="N85" s="39">
        <f>+'FY24'!N85*(1+MYP!$M$10)</f>
        <v>0</v>
      </c>
      <c r="O85" s="39">
        <f>+'FY24'!O85*(1+MYP!$M$10)</f>
        <v>0</v>
      </c>
      <c r="P85" s="39">
        <f>+'FY24'!P85*(1+MYP!$M$10)</f>
        <v>0</v>
      </c>
      <c r="Q85" s="100"/>
      <c r="R85" s="41"/>
      <c r="S85" s="59">
        <f t="shared" si="26"/>
        <v>0</v>
      </c>
      <c r="T85" s="41"/>
      <c r="U85" s="39">
        <f>'FY24'!S85</f>
        <v>0</v>
      </c>
      <c r="V85" s="39">
        <f t="shared" si="27"/>
        <v>0</v>
      </c>
      <c r="W85" s="39"/>
    </row>
    <row r="86" spans="3:23" s="37" customFormat="1" ht="12" x14ac:dyDescent="0.2">
      <c r="C86" s="200">
        <v>6531</v>
      </c>
      <c r="D86" s="37" t="s">
        <v>27</v>
      </c>
      <c r="E86" s="39">
        <f>+'FY24'!E86*(1+MYP!$M$10)</f>
        <v>162.36482400000003</v>
      </c>
      <c r="F86" s="39">
        <f>+'FY24'!F86*(1+MYP!$M$10)</f>
        <v>162.36482400000003</v>
      </c>
      <c r="G86" s="39">
        <f>+'FY24'!G86*(1+MYP!$M$10)</f>
        <v>162.36482400000003</v>
      </c>
      <c r="H86" s="39">
        <f>+'FY24'!H86*(1+MYP!$M$10)</f>
        <v>162.36482400000003</v>
      </c>
      <c r="I86" s="39">
        <f>+'FY24'!I86*(1+MYP!$M$10)</f>
        <v>162.36482400000003</v>
      </c>
      <c r="J86" s="39">
        <f>+'FY24'!J86*(1+MYP!$M$10)</f>
        <v>162.36482400000003</v>
      </c>
      <c r="K86" s="39">
        <f>+'FY24'!K86*(1+MYP!$M$10)</f>
        <v>162.36482400000003</v>
      </c>
      <c r="L86" s="39">
        <f>+'FY24'!L86*(1+MYP!$M$10)</f>
        <v>162.36482400000003</v>
      </c>
      <c r="M86" s="39">
        <f>+'FY24'!M86*(1+MYP!$M$10)</f>
        <v>162.36482400000003</v>
      </c>
      <c r="N86" s="39">
        <f>+'FY24'!N86*(1+MYP!$M$10)</f>
        <v>162.36482400000003</v>
      </c>
      <c r="O86" s="39">
        <f>+'FY24'!O86*(1+MYP!$M$10)</f>
        <v>162.36482400000003</v>
      </c>
      <c r="P86" s="39">
        <f>+'FY24'!P86*(1+MYP!$M$10)</f>
        <v>162.36482400000003</v>
      </c>
      <c r="Q86" s="100"/>
      <c r="R86" s="41"/>
      <c r="S86" s="59">
        <f t="shared" si="26"/>
        <v>1948.3778880000002</v>
      </c>
      <c r="T86" s="41"/>
      <c r="U86" s="39">
        <f>'FY24'!S86</f>
        <v>1910.1744000000001</v>
      </c>
      <c r="V86" s="39">
        <f t="shared" si="27"/>
        <v>-38.203488000000107</v>
      </c>
      <c r="W86" s="39"/>
    </row>
    <row r="87" spans="3:23" s="37" customFormat="1" ht="12" x14ac:dyDescent="0.2">
      <c r="C87" s="200">
        <v>6534</v>
      </c>
      <c r="D87" s="37" t="s">
        <v>28</v>
      </c>
      <c r="E87" s="39">
        <f>+'FY24'!E87*(1+MYP!$M$10)</f>
        <v>0</v>
      </c>
      <c r="F87" s="39">
        <f>+'FY24'!F87*(1+MYP!$M$10)</f>
        <v>0</v>
      </c>
      <c r="G87" s="39">
        <f>+'FY24'!G87*(1+MYP!$M$10)</f>
        <v>0</v>
      </c>
      <c r="H87" s="39">
        <f>+'FY24'!H87*(1+MYP!$M$10)</f>
        <v>0</v>
      </c>
      <c r="I87" s="39">
        <f>+'FY24'!I87*(1+MYP!$M$10)</f>
        <v>0</v>
      </c>
      <c r="J87" s="39">
        <f>+'FY24'!J87*(1+MYP!$M$10)</f>
        <v>0</v>
      </c>
      <c r="K87" s="39">
        <f>+'FY24'!K87*(1+MYP!$M$10)</f>
        <v>0</v>
      </c>
      <c r="L87" s="39">
        <f>+'FY24'!L87*(1+MYP!$M$10)</f>
        <v>0</v>
      </c>
      <c r="M87" s="39">
        <f>+'FY24'!M87*(1+MYP!$M$10)</f>
        <v>0</v>
      </c>
      <c r="N87" s="39">
        <f>+'FY24'!N87*(1+MYP!$M$10)</f>
        <v>0</v>
      </c>
      <c r="O87" s="39">
        <f>+'FY24'!O87*(1+MYP!$M$10)</f>
        <v>0</v>
      </c>
      <c r="P87" s="39">
        <f>+'FY24'!P87*(1+MYP!$M$10)</f>
        <v>0</v>
      </c>
      <c r="Q87" s="100"/>
      <c r="R87" s="41"/>
      <c r="S87" s="59">
        <f t="shared" si="26"/>
        <v>0</v>
      </c>
      <c r="T87" s="41"/>
      <c r="U87" s="39">
        <f>'FY24'!S87</f>
        <v>0</v>
      </c>
      <c r="V87" s="39">
        <f t="shared" si="27"/>
        <v>0</v>
      </c>
      <c r="W87" s="39"/>
    </row>
    <row r="88" spans="3:23" s="37" customFormat="1" ht="12" x14ac:dyDescent="0.2">
      <c r="C88" s="200">
        <v>6535</v>
      </c>
      <c r="D88" s="37" t="s">
        <v>235</v>
      </c>
      <c r="E88" s="39">
        <f>+'FY24'!E88*(1+MYP!$M$10)</f>
        <v>156.95266319999999</v>
      </c>
      <c r="F88" s="39">
        <f>+'FY24'!F88*(1+MYP!$M$10)</f>
        <v>156.95266319999999</v>
      </c>
      <c r="G88" s="39">
        <f>+'FY24'!G88*(1+MYP!$M$10)</f>
        <v>156.95266319999999</v>
      </c>
      <c r="H88" s="39">
        <f>+'FY24'!H88*(1+MYP!$M$10)</f>
        <v>156.95266319999999</v>
      </c>
      <c r="I88" s="39">
        <f>+'FY24'!I88*(1+MYP!$M$10)</f>
        <v>156.95266319999999</v>
      </c>
      <c r="J88" s="39">
        <f>+'FY24'!J88*(1+MYP!$M$10)</f>
        <v>156.95266319999999</v>
      </c>
      <c r="K88" s="39">
        <f>+'FY24'!K88*(1+MYP!$M$10)</f>
        <v>156.95266319999999</v>
      </c>
      <c r="L88" s="39">
        <f>+'FY24'!L88*(1+MYP!$M$10)</f>
        <v>156.95266319999999</v>
      </c>
      <c r="M88" s="39">
        <f>+'FY24'!M88*(1+MYP!$M$10)</f>
        <v>156.95266319999999</v>
      </c>
      <c r="N88" s="39">
        <f>+'FY24'!N88*(1+MYP!$M$10)</f>
        <v>156.95266319999999</v>
      </c>
      <c r="O88" s="39">
        <f>+'FY24'!O88*(1+MYP!$M$10)</f>
        <v>156.95266319999999</v>
      </c>
      <c r="P88" s="39">
        <f>+'FY24'!P88*(1+MYP!$M$10)</f>
        <v>156.95266319999999</v>
      </c>
      <c r="Q88" s="100"/>
      <c r="R88" s="41"/>
      <c r="S88" s="59">
        <f t="shared" si="26"/>
        <v>1883.4319583999998</v>
      </c>
      <c r="T88" s="41"/>
      <c r="U88" s="39">
        <f>'FY24'!S88</f>
        <v>1846.5019200000004</v>
      </c>
      <c r="V88" s="39">
        <f t="shared" si="27"/>
        <v>-36.930038399999376</v>
      </c>
      <c r="W88" s="39"/>
    </row>
    <row r="89" spans="3:23" s="37" customFormat="1" ht="12" x14ac:dyDescent="0.2">
      <c r="C89" s="200">
        <v>6540</v>
      </c>
      <c r="D89" s="37" t="s">
        <v>30</v>
      </c>
      <c r="E89" s="39">
        <f>+'FY24'!E89*(1+MYP!$M$10)</f>
        <v>180.40536</v>
      </c>
      <c r="F89" s="39">
        <f>+'FY24'!F89*(1+MYP!$M$10)</f>
        <v>180.40536</v>
      </c>
      <c r="G89" s="39">
        <f>+'FY24'!G89*(1+MYP!$M$10)</f>
        <v>180.40536</v>
      </c>
      <c r="H89" s="39">
        <f>+'FY24'!H89*(1+MYP!$M$10)</f>
        <v>180.40536</v>
      </c>
      <c r="I89" s="39">
        <f>+'FY24'!I89*(1+MYP!$M$10)</f>
        <v>180.40536</v>
      </c>
      <c r="J89" s="39">
        <f>+'FY24'!J89*(1+MYP!$M$10)</f>
        <v>180.40536</v>
      </c>
      <c r="K89" s="39">
        <f>+'FY24'!K89*(1+MYP!$M$10)</f>
        <v>180.40536</v>
      </c>
      <c r="L89" s="39">
        <f>+'FY24'!L89*(1+MYP!$M$10)</f>
        <v>180.40536</v>
      </c>
      <c r="M89" s="39">
        <f>+'FY24'!M89*(1+MYP!$M$10)</f>
        <v>180.40536</v>
      </c>
      <c r="N89" s="39">
        <f>+'FY24'!N89*(1+MYP!$M$10)</f>
        <v>180.40536</v>
      </c>
      <c r="O89" s="39">
        <f>+'FY24'!O89*(1+MYP!$M$10)</f>
        <v>180.40536</v>
      </c>
      <c r="P89" s="39">
        <f>+'FY24'!P89*(1+MYP!$M$10)</f>
        <v>180.40536</v>
      </c>
      <c r="Q89" s="100"/>
      <c r="R89" s="41"/>
      <c r="S89" s="59">
        <f t="shared" si="26"/>
        <v>2164.8643200000001</v>
      </c>
      <c r="T89" s="41"/>
      <c r="U89" s="39">
        <f>'FY24'!S89</f>
        <v>2122.4159999999997</v>
      </c>
      <c r="V89" s="39">
        <f t="shared" si="27"/>
        <v>-42.448320000000422</v>
      </c>
      <c r="W89" s="39"/>
    </row>
    <row r="90" spans="3:23" s="37" customFormat="1" ht="12" x14ac:dyDescent="0.2">
      <c r="C90" s="200">
        <v>6550</v>
      </c>
      <c r="D90" s="37" t="s">
        <v>31</v>
      </c>
      <c r="E90" s="39">
        <f>+'FY24'!E90*(1+MYP!$M$10)</f>
        <v>0</v>
      </c>
      <c r="F90" s="39">
        <f>+'FY24'!F90*(1+MYP!$M$10)</f>
        <v>0</v>
      </c>
      <c r="G90" s="39">
        <f>+'FY24'!G90*(1+MYP!$M$10)</f>
        <v>0</v>
      </c>
      <c r="H90" s="39">
        <f>+'FY24'!H90*(1+MYP!$M$10)</f>
        <v>0</v>
      </c>
      <c r="I90" s="39">
        <f>+'FY24'!I90*(1+MYP!$M$10)</f>
        <v>0</v>
      </c>
      <c r="J90" s="39">
        <f>+'FY24'!J90*(1+MYP!$M$10)</f>
        <v>0</v>
      </c>
      <c r="K90" s="39">
        <f>+'FY24'!K90*(1+MYP!$M$10)</f>
        <v>0</v>
      </c>
      <c r="L90" s="39">
        <f>+'FY24'!L90*(1+MYP!$M$10)</f>
        <v>0</v>
      </c>
      <c r="M90" s="39">
        <f>+'FY24'!M90*(1+MYP!$M$10)</f>
        <v>0</v>
      </c>
      <c r="N90" s="39">
        <f>+'FY24'!N90*(1+MYP!$M$10)</f>
        <v>0</v>
      </c>
      <c r="O90" s="39">
        <f>+'FY24'!O90*(1+MYP!$M$10)</f>
        <v>0</v>
      </c>
      <c r="P90" s="39">
        <f>+'FY24'!P90*(1+MYP!$M$10)</f>
        <v>0</v>
      </c>
      <c r="Q90" s="100"/>
      <c r="R90" s="41"/>
      <c r="S90" s="59">
        <f t="shared" si="26"/>
        <v>0</v>
      </c>
      <c r="T90" s="41"/>
      <c r="U90" s="39">
        <f>'FY24'!S90</f>
        <v>0</v>
      </c>
      <c r="V90" s="39">
        <f t="shared" si="27"/>
        <v>0</v>
      </c>
      <c r="W90" s="39"/>
    </row>
    <row r="91" spans="3:23" s="37" customFormat="1" ht="12" x14ac:dyDescent="0.2">
      <c r="C91" s="207">
        <v>6568</v>
      </c>
      <c r="D91" s="37" t="s">
        <v>186</v>
      </c>
      <c r="E91" s="39">
        <f>+'FY24'!E91*(1+MYP!$G$8)</f>
        <v>0</v>
      </c>
      <c r="F91" s="39">
        <f>+'FY24'!F91*(1+MYP!$G$8)</f>
        <v>0</v>
      </c>
      <c r="G91" s="39">
        <f>+'FY24'!G91*(1+MYP!$G$8)</f>
        <v>0</v>
      </c>
      <c r="H91" s="39">
        <f>+'FY24'!H91*(1+MYP!$G$8)</f>
        <v>0</v>
      </c>
      <c r="I91" s="39">
        <f>+'FY24'!I91*(1+MYP!$G$8)</f>
        <v>0</v>
      </c>
      <c r="J91" s="39">
        <f>+'FY24'!J91*(1+MYP!$G$8)</f>
        <v>0</v>
      </c>
      <c r="K91" s="39">
        <f>+'FY24'!K91*(1+MYP!$G$8)</f>
        <v>0</v>
      </c>
      <c r="L91" s="39">
        <f>+'FY24'!L91*(1+MYP!$G$8)</f>
        <v>0</v>
      </c>
      <c r="M91" s="39">
        <f>+'FY24'!M91*(1+MYP!$G$8)</f>
        <v>0</v>
      </c>
      <c r="N91" s="39">
        <f>+'FY24'!N91*(1+MYP!$G$8)</f>
        <v>0</v>
      </c>
      <c r="O91" s="39">
        <f>+'FY24'!O91*(1+MYP!$G$8)</f>
        <v>0</v>
      </c>
      <c r="P91" s="39">
        <f>+'FY24'!P91*(1+MYP!$G$8)</f>
        <v>0</v>
      </c>
      <c r="Q91" s="100"/>
      <c r="R91" s="41"/>
      <c r="S91" s="59">
        <f t="shared" ref="S91" si="28">SUM(E91:Q91)</f>
        <v>0</v>
      </c>
      <c r="T91" s="41"/>
      <c r="U91" s="39">
        <f>'FY24'!S91</f>
        <v>0</v>
      </c>
      <c r="V91" s="39">
        <f t="shared" ref="V91" si="29">U91-S91</f>
        <v>0</v>
      </c>
      <c r="W91" s="39"/>
    </row>
    <row r="92" spans="3:23" s="37" customFormat="1" ht="12" x14ac:dyDescent="0.2">
      <c r="C92" s="200">
        <v>6569</v>
      </c>
      <c r="D92" s="37" t="s">
        <v>32</v>
      </c>
      <c r="E92" s="39">
        <f>+'FY24'!E92*(1+MYP!$G$8)</f>
        <v>0</v>
      </c>
      <c r="F92" s="39">
        <f>+'FY24'!F92*(1+MYP!$G$8)</f>
        <v>0</v>
      </c>
      <c r="G92" s="39">
        <f>+'FY24'!G92*(1+MYP!$G$8)</f>
        <v>0</v>
      </c>
      <c r="H92" s="39">
        <f>+'FY24'!H92*(1+MYP!$G$8)</f>
        <v>144703.125</v>
      </c>
      <c r="I92" s="39">
        <f>+'FY24'!I92*(1+MYP!$G$8)</f>
        <v>130370.625</v>
      </c>
      <c r="J92" s="39">
        <f>+'FY24'!J92*(1+MYP!$G$8)</f>
        <v>-11025</v>
      </c>
      <c r="K92" s="39">
        <f>+'FY24'!K92*(1+MYP!$G$8)</f>
        <v>0</v>
      </c>
      <c r="L92" s="39">
        <f>+'FY24'!L92*(1+MYP!$G$8)</f>
        <v>0</v>
      </c>
      <c r="M92" s="39">
        <f>+'FY24'!M92*(1+MYP!$G$8)</f>
        <v>167028.75</v>
      </c>
      <c r="N92" s="39">
        <f>+'FY24'!N92*(1+MYP!$G$8)</f>
        <v>152696.25</v>
      </c>
      <c r="O92" s="39">
        <f>+'FY24'!O92*(1+MYP!$G$8)</f>
        <v>-11025</v>
      </c>
      <c r="P92" s="39">
        <f>+'FY24'!P92*(1+MYP!$G$8)</f>
        <v>0</v>
      </c>
      <c r="Q92" s="100"/>
      <c r="R92" s="41"/>
      <c r="S92" s="59">
        <f t="shared" si="26"/>
        <v>572748.75</v>
      </c>
      <c r="T92" s="41"/>
      <c r="U92" s="39">
        <f>'FY24'!S92</f>
        <v>545475</v>
      </c>
      <c r="V92" s="39">
        <f t="shared" si="27"/>
        <v>-27273.75</v>
      </c>
      <c r="W92" s="39"/>
    </row>
    <row r="93" spans="3:23" s="37" customFormat="1" ht="12" x14ac:dyDescent="0.2">
      <c r="C93" s="200">
        <v>6580</v>
      </c>
      <c r="D93" s="37" t="s">
        <v>33</v>
      </c>
      <c r="E93" s="39">
        <f>+'FY24'!E93*(1+MYP!$M$10)</f>
        <v>0</v>
      </c>
      <c r="F93" s="39">
        <f>+'FY24'!F93*(1+MYP!$M$10)</f>
        <v>0</v>
      </c>
      <c r="G93" s="39">
        <f>+'FY24'!G93*(1+MYP!$M$10)</f>
        <v>0</v>
      </c>
      <c r="H93" s="39">
        <f>+'FY24'!H93*(1+MYP!$M$10)</f>
        <v>0</v>
      </c>
      <c r="I93" s="39">
        <f>+'FY24'!I93*(1+MYP!$M$10)</f>
        <v>0</v>
      </c>
      <c r="J93" s="39">
        <f>+'FY24'!J93*(1+MYP!$M$10)</f>
        <v>0</v>
      </c>
      <c r="K93" s="39">
        <f>+'FY24'!K93*(1+MYP!$M$10)</f>
        <v>0</v>
      </c>
      <c r="L93" s="39">
        <f>+'FY24'!L93*(1+MYP!$M$10)</f>
        <v>0</v>
      </c>
      <c r="M93" s="39">
        <f>+'FY24'!M93*(1+MYP!$M$10)</f>
        <v>0</v>
      </c>
      <c r="N93" s="39">
        <f>+'FY24'!N93*(1+MYP!$M$10)</f>
        <v>0</v>
      </c>
      <c r="O93" s="39">
        <f>+'FY24'!O93*(1+MYP!$M$10)</f>
        <v>0</v>
      </c>
      <c r="P93" s="39">
        <f>+'FY24'!P93*(1+MYP!$M$10)</f>
        <v>0</v>
      </c>
      <c r="Q93" s="100"/>
      <c r="R93" s="41"/>
      <c r="S93" s="59">
        <f t="shared" si="26"/>
        <v>0</v>
      </c>
      <c r="T93" s="41"/>
      <c r="U93" s="39">
        <f>'FY24'!S93</f>
        <v>0</v>
      </c>
      <c r="V93" s="39">
        <f t="shared" si="27"/>
        <v>0</v>
      </c>
      <c r="W93" s="39"/>
    </row>
    <row r="94" spans="3:23" s="37" customFormat="1" ht="12" x14ac:dyDescent="0.2">
      <c r="C94" s="38"/>
      <c r="E94" s="50">
        <f>SUBTOTAL(9,E82:E93)</f>
        <v>535.8039192</v>
      </c>
      <c r="F94" s="50">
        <f t="shared" ref="F94:V94" si="30">SUBTOTAL(9,F82:F93)</f>
        <v>4649.0461271999993</v>
      </c>
      <c r="G94" s="50">
        <f t="shared" si="30"/>
        <v>535.8039192</v>
      </c>
      <c r="H94" s="50">
        <f t="shared" si="30"/>
        <v>145238.9289192</v>
      </c>
      <c r="I94" s="50">
        <f t="shared" si="30"/>
        <v>130906.4289192</v>
      </c>
      <c r="J94" s="50">
        <f t="shared" si="30"/>
        <v>-10489.1960808</v>
      </c>
      <c r="K94" s="50">
        <f t="shared" si="30"/>
        <v>535.8039192</v>
      </c>
      <c r="L94" s="50">
        <f t="shared" si="30"/>
        <v>535.8039192</v>
      </c>
      <c r="M94" s="50">
        <f t="shared" si="30"/>
        <v>167564.5539192</v>
      </c>
      <c r="N94" s="50">
        <f t="shared" si="30"/>
        <v>153232.0539192</v>
      </c>
      <c r="O94" s="50">
        <f t="shared" si="30"/>
        <v>-10489.1960808</v>
      </c>
      <c r="P94" s="50">
        <f t="shared" si="30"/>
        <v>535.8039192</v>
      </c>
      <c r="Q94" s="99"/>
      <c r="R94" s="41"/>
      <c r="S94" s="61">
        <f t="shared" si="30"/>
        <v>583291.63923840004</v>
      </c>
      <c r="T94" s="41"/>
      <c r="U94" s="50">
        <f t="shared" si="30"/>
        <v>555811.16592000006</v>
      </c>
      <c r="V94" s="50">
        <f t="shared" si="30"/>
        <v>-27480.4733184</v>
      </c>
      <c r="W94" s="39"/>
    </row>
    <row r="95" spans="3:23" s="37" customFormat="1" ht="12" x14ac:dyDescent="0.2">
      <c r="C95" s="49" t="s">
        <v>102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100"/>
      <c r="R95" s="41"/>
      <c r="S95" s="59"/>
      <c r="T95" s="41"/>
      <c r="U95" s="39"/>
      <c r="V95" s="39"/>
      <c r="W95" s="39"/>
    </row>
    <row r="96" spans="3:23" s="37" customFormat="1" ht="12" x14ac:dyDescent="0.2">
      <c r="C96" s="200">
        <v>6610</v>
      </c>
      <c r="D96" s="37" t="s">
        <v>34</v>
      </c>
      <c r="E96" s="39">
        <f>+'FY24'!E96*(1+MYP!$M$10)</f>
        <v>541.21608000000003</v>
      </c>
      <c r="F96" s="39">
        <f>+'FY24'!F96*(1+MYP!$M$10)</f>
        <v>541.21608000000003</v>
      </c>
      <c r="G96" s="39">
        <f>+'FY24'!G96*(1+MYP!$M$10)</f>
        <v>541.21608000000003</v>
      </c>
      <c r="H96" s="39">
        <f>+'FY24'!H96*(1+MYP!$M$10)</f>
        <v>956.87002944000005</v>
      </c>
      <c r="I96" s="39">
        <f>+'FY24'!I96*(1+MYP!$M$10)</f>
        <v>541.21608000000003</v>
      </c>
      <c r="J96" s="39">
        <f>+'FY24'!J96*(1+MYP!$M$10)</f>
        <v>541.21608000000003</v>
      </c>
      <c r="K96" s="39">
        <f>+'FY24'!K96*(1+MYP!$M$10)</f>
        <v>541.21608000000003</v>
      </c>
      <c r="L96" s="39">
        <f>+'FY24'!L96*(1+MYP!$M$10)</f>
        <v>541.21608000000003</v>
      </c>
      <c r="M96" s="39">
        <f>+'FY24'!M96*(1+MYP!$M$10)</f>
        <v>541.21608000000003</v>
      </c>
      <c r="N96" s="39">
        <f>+'FY24'!N96*(1+MYP!$M$10)</f>
        <v>541.21608000000003</v>
      </c>
      <c r="O96" s="39">
        <f>+'FY24'!O96*(1+MYP!$M$10)</f>
        <v>541.21608000000003</v>
      </c>
      <c r="P96" s="39">
        <f>+'FY24'!P96*(1+MYP!$M$10)</f>
        <v>541.21608000000003</v>
      </c>
      <c r="Q96" s="100"/>
      <c r="R96" s="41"/>
      <c r="S96" s="59">
        <f t="shared" ref="S96:S102" si="31">SUM(E96:Q96)</f>
        <v>6910.2469094400012</v>
      </c>
      <c r="T96" s="41"/>
      <c r="U96" s="39">
        <f>'FY24'!S96</f>
        <v>6774.7518720000025</v>
      </c>
      <c r="V96" s="39">
        <f t="shared" ref="V96:V102" si="32">U96-S96</f>
        <v>-135.49503743999867</v>
      </c>
      <c r="W96" s="39"/>
    </row>
    <row r="97" spans="3:23" s="37" customFormat="1" ht="12" x14ac:dyDescent="0.2">
      <c r="C97" s="200">
        <v>6612</v>
      </c>
      <c r="D97" s="37" t="s">
        <v>35</v>
      </c>
      <c r="E97" s="39">
        <f>+'FY24'!E97*(1+MYP!$M$10)</f>
        <v>0</v>
      </c>
      <c r="F97" s="39">
        <f>+'FY24'!F97*(1+MYP!$M$10)</f>
        <v>0</v>
      </c>
      <c r="G97" s="39">
        <f>+'FY24'!G97*(1+MYP!$M$10)</f>
        <v>0</v>
      </c>
      <c r="H97" s="39">
        <f>+'FY24'!H97*(1+MYP!$M$10)</f>
        <v>0</v>
      </c>
      <c r="I97" s="39">
        <f>+'FY24'!I97*(1+MYP!$M$10)</f>
        <v>0</v>
      </c>
      <c r="J97" s="39">
        <f>+'FY24'!J97*(1+MYP!$M$10)</f>
        <v>0</v>
      </c>
      <c r="K97" s="39">
        <f>+'FY24'!K97*(1+MYP!$M$10)</f>
        <v>0</v>
      </c>
      <c r="L97" s="39">
        <f>+'FY24'!L97*(1+MYP!$M$10)</f>
        <v>0</v>
      </c>
      <c r="M97" s="39">
        <f>+'FY24'!M97*(1+MYP!$M$10)</f>
        <v>0</v>
      </c>
      <c r="N97" s="39">
        <f>+'FY24'!N97*(1+MYP!$M$10)</f>
        <v>0</v>
      </c>
      <c r="O97" s="39">
        <f>+'FY24'!O97*(1+MYP!$M$10)</f>
        <v>0</v>
      </c>
      <c r="P97" s="39">
        <f>+'FY24'!P97*(1+MYP!$M$10)</f>
        <v>0</v>
      </c>
      <c r="Q97" s="100"/>
      <c r="R97" s="41"/>
      <c r="S97" s="59">
        <f t="shared" si="31"/>
        <v>0</v>
      </c>
      <c r="T97" s="41"/>
      <c r="U97" s="39">
        <f>'FY24'!S97</f>
        <v>0</v>
      </c>
      <c r="V97" s="39">
        <f t="shared" si="32"/>
        <v>0</v>
      </c>
      <c r="W97" s="39"/>
    </row>
    <row r="98" spans="3:23" s="37" customFormat="1" ht="12" x14ac:dyDescent="0.2">
      <c r="C98" s="200">
        <v>6622</v>
      </c>
      <c r="D98" s="37" t="s">
        <v>36</v>
      </c>
      <c r="E98" s="39">
        <f>+'FY24'!E98*(1+MYP!$M$10)</f>
        <v>865.94572800000003</v>
      </c>
      <c r="F98" s="39">
        <f>+'FY24'!F98*(1+MYP!$M$10)</f>
        <v>865.94572800000003</v>
      </c>
      <c r="G98" s="39">
        <f>+'FY24'!G98*(1+MYP!$M$10)</f>
        <v>865.94572800000003</v>
      </c>
      <c r="H98" s="39">
        <f>+'FY24'!H98*(1+MYP!$M$10)</f>
        <v>865.94572800000003</v>
      </c>
      <c r="I98" s="39">
        <f>+'FY24'!I98*(1+MYP!$M$10)</f>
        <v>865.94572800000003</v>
      </c>
      <c r="J98" s="39">
        <f>+'FY24'!J98*(1+MYP!$M$10)</f>
        <v>865.94572800000003</v>
      </c>
      <c r="K98" s="39">
        <f>+'FY24'!K98*(1+MYP!$M$10)</f>
        <v>865.94572800000003</v>
      </c>
      <c r="L98" s="39">
        <f>+'FY24'!L98*(1+MYP!$M$10)</f>
        <v>865.94572800000003</v>
      </c>
      <c r="M98" s="39">
        <f>+'FY24'!M98*(1+MYP!$M$10)</f>
        <v>865.94572800000003</v>
      </c>
      <c r="N98" s="39">
        <f>+'FY24'!N98*(1+MYP!$M$10)</f>
        <v>865.94572800000003</v>
      </c>
      <c r="O98" s="39">
        <f>+'FY24'!O98*(1+MYP!$M$10)</f>
        <v>865.94572800000003</v>
      </c>
      <c r="P98" s="39">
        <f>+'FY24'!P98*(1+MYP!$M$10)</f>
        <v>865.94572800000003</v>
      </c>
      <c r="Q98" s="100"/>
      <c r="R98" s="41"/>
      <c r="S98" s="59">
        <f t="shared" si="31"/>
        <v>10391.348736</v>
      </c>
      <c r="T98" s="41"/>
      <c r="U98" s="39">
        <f>'FY24'!S98</f>
        <v>10187.596799999999</v>
      </c>
      <c r="V98" s="39">
        <f t="shared" si="32"/>
        <v>-203.75193600000057</v>
      </c>
      <c r="W98" s="39"/>
    </row>
    <row r="99" spans="3:23" s="37" customFormat="1" ht="12" x14ac:dyDescent="0.2">
      <c r="C99" s="200">
        <v>6641</v>
      </c>
      <c r="D99" s="37" t="s">
        <v>37</v>
      </c>
      <c r="E99" s="39">
        <f>+'FY24'!E99*(1+MYP!$G$8)</f>
        <v>0</v>
      </c>
      <c r="F99" s="39">
        <f>+'FY24'!F99*(1+MYP!$G$8)</f>
        <v>0</v>
      </c>
      <c r="G99" s="39">
        <f>+'FY24'!G99*(1+MYP!$G$8)</f>
        <v>0</v>
      </c>
      <c r="H99" s="39">
        <f>+'FY24'!H99*(1+MYP!$G$8)</f>
        <v>28868.2734375</v>
      </c>
      <c r="I99" s="39">
        <f>+'FY24'!I99*(1+MYP!$G$8)</f>
        <v>8204.6671875000011</v>
      </c>
      <c r="J99" s="39">
        <f>+'FY24'!J99*(1+MYP!$G$8)</f>
        <v>0</v>
      </c>
      <c r="K99" s="39">
        <f>+'FY24'!K99*(1+MYP!$G$8)</f>
        <v>0</v>
      </c>
      <c r="L99" s="39">
        <f>+'FY24'!L99*(1+MYP!$G$8)</f>
        <v>0</v>
      </c>
      <c r="M99" s="39">
        <f>+'FY24'!M99*(1+MYP!$G$8)</f>
        <v>0</v>
      </c>
      <c r="N99" s="39">
        <f>+'FY24'!N99*(1+MYP!$G$8)</f>
        <v>10666.067343750001</v>
      </c>
      <c r="O99" s="39">
        <f>+'FY24'!O99*(1+MYP!$G$8)</f>
        <v>10666.067343750001</v>
      </c>
      <c r="P99" s="39">
        <f>+'FY24'!P99*(1+MYP!$G$8)</f>
        <v>0</v>
      </c>
      <c r="Q99" s="100"/>
      <c r="R99" s="41"/>
      <c r="S99" s="59">
        <f t="shared" si="31"/>
        <v>58405.075312500005</v>
      </c>
      <c r="T99" s="41"/>
      <c r="U99" s="39">
        <f>'FY24'!S99</f>
        <v>55623.881250000006</v>
      </c>
      <c r="V99" s="39">
        <f t="shared" si="32"/>
        <v>-2781.1940624999988</v>
      </c>
      <c r="W99" s="39"/>
    </row>
    <row r="100" spans="3:23" s="37" customFormat="1" ht="12" x14ac:dyDescent="0.2">
      <c r="C100" s="200">
        <v>6642</v>
      </c>
      <c r="D100" s="37" t="s">
        <v>38</v>
      </c>
      <c r="E100" s="39">
        <f>+'FY24'!E100*(1+MYP!$G$8)</f>
        <v>0</v>
      </c>
      <c r="F100" s="39">
        <f>+'FY24'!F100*(1+MYP!$G$8)</f>
        <v>0</v>
      </c>
      <c r="G100" s="39">
        <f>+'FY24'!G100*(1+MYP!$G$8)</f>
        <v>0</v>
      </c>
      <c r="H100" s="39">
        <f>+'FY24'!H100*(1+MYP!$G$8)</f>
        <v>16409.334375000002</v>
      </c>
      <c r="I100" s="39">
        <f>+'FY24'!I100*(1+MYP!$G$8)</f>
        <v>16409.334375000002</v>
      </c>
      <c r="J100" s="39">
        <f>+'FY24'!J100*(1+MYP!$G$8)</f>
        <v>0</v>
      </c>
      <c r="K100" s="39">
        <f>+'FY24'!K100*(1+MYP!$G$8)</f>
        <v>0</v>
      </c>
      <c r="L100" s="39">
        <f>+'FY24'!L100*(1+MYP!$G$8)</f>
        <v>0</v>
      </c>
      <c r="M100" s="39">
        <f>+'FY24'!M100*(1+MYP!$G$8)</f>
        <v>0</v>
      </c>
      <c r="N100" s="39">
        <f>+'FY24'!N100*(1+MYP!$G$8)</f>
        <v>22152.601406250003</v>
      </c>
      <c r="O100" s="39">
        <f>+'FY24'!O100*(1+MYP!$G$8)</f>
        <v>22152.601406250003</v>
      </c>
      <c r="P100" s="39">
        <f>+'FY24'!P100*(1+MYP!$G$8)</f>
        <v>0</v>
      </c>
      <c r="Q100" s="100"/>
      <c r="R100" s="41"/>
      <c r="S100" s="59">
        <f t="shared" si="31"/>
        <v>77123.871562500019</v>
      </c>
      <c r="T100" s="41"/>
      <c r="U100" s="39">
        <f>'FY24'!S100</f>
        <v>73451.306249999994</v>
      </c>
      <c r="V100" s="39">
        <f t="shared" si="32"/>
        <v>-3672.5653125000244</v>
      </c>
      <c r="W100" s="39"/>
    </row>
    <row r="101" spans="3:23" s="37" customFormat="1" ht="12" x14ac:dyDescent="0.2">
      <c r="C101" s="200">
        <v>6651</v>
      </c>
      <c r="D101" s="37" t="s">
        <v>39</v>
      </c>
      <c r="E101" s="39">
        <f>+'FY24'!E101*(1+MYP!$M$10)</f>
        <v>0</v>
      </c>
      <c r="F101" s="39">
        <f>+'FY24'!F101*(1+MYP!$M$10)</f>
        <v>0</v>
      </c>
      <c r="G101" s="39">
        <f>+'FY24'!G101*(1+MYP!$M$10)</f>
        <v>0</v>
      </c>
      <c r="H101" s="39">
        <f>+'FY24'!H101*(1+MYP!$M$10)</f>
        <v>0</v>
      </c>
      <c r="I101" s="39">
        <f>+'FY24'!I101*(1+MYP!$M$10)</f>
        <v>0</v>
      </c>
      <c r="J101" s="39">
        <f>+'FY24'!J101*(1+MYP!$M$10)</f>
        <v>0</v>
      </c>
      <c r="K101" s="39">
        <f>+'FY24'!K101*(1+MYP!$M$10)</f>
        <v>0</v>
      </c>
      <c r="L101" s="39">
        <f>+'FY24'!L101*(1+MYP!$M$10)</f>
        <v>0</v>
      </c>
      <c r="M101" s="39">
        <f>+'FY24'!M101*(1+MYP!$M$10)</f>
        <v>0</v>
      </c>
      <c r="N101" s="39">
        <f>+'FY24'!N101*(1+MYP!$M$10)</f>
        <v>0</v>
      </c>
      <c r="O101" s="39">
        <f>+'FY24'!O101*(1+MYP!$M$10)</f>
        <v>0</v>
      </c>
      <c r="P101" s="39">
        <f>+'FY24'!P101*(1+MYP!$M$10)</f>
        <v>0</v>
      </c>
      <c r="Q101" s="100"/>
      <c r="R101" s="41"/>
      <c r="S101" s="59">
        <f t="shared" si="31"/>
        <v>0</v>
      </c>
      <c r="T101" s="41"/>
      <c r="U101" s="39">
        <f>'FY24'!S101</f>
        <v>0</v>
      </c>
      <c r="V101" s="39">
        <f t="shared" si="32"/>
        <v>0</v>
      </c>
      <c r="W101" s="39"/>
    </row>
    <row r="102" spans="3:23" s="37" customFormat="1" ht="12" x14ac:dyDescent="0.2">
      <c r="C102" s="200">
        <v>6652</v>
      </c>
      <c r="D102" s="37" t="s">
        <v>40</v>
      </c>
      <c r="E102" s="39">
        <f>+'FY24'!E102*(1+MYP!$M$10)</f>
        <v>0</v>
      </c>
      <c r="F102" s="39">
        <f>+'FY24'!F102*(1+MYP!$M$10)</f>
        <v>0</v>
      </c>
      <c r="G102" s="39">
        <f>+'FY24'!G102*(1+MYP!$M$10)</f>
        <v>0</v>
      </c>
      <c r="H102" s="39">
        <f>+'FY24'!H102*(1+MYP!$M$10)</f>
        <v>0</v>
      </c>
      <c r="I102" s="39">
        <f>+'FY24'!I102*(1+MYP!$M$10)</f>
        <v>0</v>
      </c>
      <c r="J102" s="39">
        <f>+'FY24'!J102*(1+MYP!$M$10)</f>
        <v>0</v>
      </c>
      <c r="K102" s="39">
        <f>+'FY24'!K102*(1+MYP!$M$10)</f>
        <v>0</v>
      </c>
      <c r="L102" s="39">
        <f>+'FY24'!L102*(1+MYP!$M$10)</f>
        <v>0</v>
      </c>
      <c r="M102" s="39">
        <f>+'FY24'!M102*(1+MYP!$M$10)</f>
        <v>0</v>
      </c>
      <c r="N102" s="39">
        <f>+'FY24'!N102*(1+MYP!$M$10)</f>
        <v>0</v>
      </c>
      <c r="O102" s="39">
        <f>+'FY24'!O102*(1+MYP!$M$10)</f>
        <v>0</v>
      </c>
      <c r="P102" s="39">
        <f>+'FY24'!P102*(1+MYP!$M$10)</f>
        <v>0</v>
      </c>
      <c r="Q102" s="100"/>
      <c r="R102" s="41"/>
      <c r="S102" s="59">
        <f t="shared" si="31"/>
        <v>0</v>
      </c>
      <c r="T102" s="41"/>
      <c r="U102" s="39">
        <f>'FY24'!S102</f>
        <v>0</v>
      </c>
      <c r="V102" s="39">
        <f t="shared" si="32"/>
        <v>0</v>
      </c>
      <c r="W102" s="39"/>
    </row>
    <row r="103" spans="3:23" s="37" customFormat="1" ht="12" x14ac:dyDescent="0.2">
      <c r="C103" s="38"/>
      <c r="E103" s="50">
        <f>SUBTOTAL(9,E96:E102)</f>
        <v>1407.1618080000001</v>
      </c>
      <c r="F103" s="50">
        <f t="shared" ref="F103:V103" si="33">SUBTOTAL(9,F96:F102)</f>
        <v>1407.1618080000001</v>
      </c>
      <c r="G103" s="50">
        <f t="shared" si="33"/>
        <v>1407.1618080000001</v>
      </c>
      <c r="H103" s="50">
        <f t="shared" si="33"/>
        <v>47100.423569940001</v>
      </c>
      <c r="I103" s="50">
        <f t="shared" si="33"/>
        <v>26021.163370500006</v>
      </c>
      <c r="J103" s="50">
        <f t="shared" si="33"/>
        <v>1407.1618080000001</v>
      </c>
      <c r="K103" s="50">
        <f t="shared" si="33"/>
        <v>1407.1618080000001</v>
      </c>
      <c r="L103" s="50">
        <f t="shared" si="33"/>
        <v>1407.1618080000001</v>
      </c>
      <c r="M103" s="50">
        <f t="shared" si="33"/>
        <v>1407.1618080000001</v>
      </c>
      <c r="N103" s="50">
        <f t="shared" si="33"/>
        <v>34225.830558000001</v>
      </c>
      <c r="O103" s="50">
        <f t="shared" si="33"/>
        <v>34225.830558000001</v>
      </c>
      <c r="P103" s="50">
        <f t="shared" si="33"/>
        <v>1407.1618080000001</v>
      </c>
      <c r="Q103" s="99"/>
      <c r="R103" s="41"/>
      <c r="S103" s="61">
        <f t="shared" si="33"/>
        <v>152830.54252044001</v>
      </c>
      <c r="T103" s="41"/>
      <c r="U103" s="50">
        <f t="shared" si="33"/>
        <v>146037.53617199999</v>
      </c>
      <c r="V103" s="50">
        <f t="shared" si="33"/>
        <v>-6793.0063484400225</v>
      </c>
      <c r="W103" s="39"/>
    </row>
    <row r="104" spans="3:23" s="37" customFormat="1" ht="12" x14ac:dyDescent="0.2">
      <c r="C104" s="49" t="s">
        <v>103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00"/>
      <c r="R104" s="41"/>
      <c r="S104" s="59"/>
      <c r="T104" s="41"/>
      <c r="U104" s="39"/>
      <c r="V104" s="39"/>
      <c r="W104" s="39"/>
    </row>
    <row r="105" spans="3:23" s="37" customFormat="1" ht="12" x14ac:dyDescent="0.2">
      <c r="C105" s="200">
        <v>6734</v>
      </c>
      <c r="D105" s="37" t="s">
        <v>41</v>
      </c>
      <c r="E105" s="39">
        <f>+'FY24'!E105*(1+MYP!$M$10)</f>
        <v>0</v>
      </c>
      <c r="F105" s="39">
        <f>+'FY24'!F105*(1+MYP!$M$10)</f>
        <v>0</v>
      </c>
      <c r="G105" s="39">
        <f>+'FY24'!G105*(1+MYP!$M$10)</f>
        <v>0</v>
      </c>
      <c r="H105" s="39">
        <f>+'FY24'!H105*(1+MYP!$M$10)</f>
        <v>0</v>
      </c>
      <c r="I105" s="39">
        <f>+'FY24'!I105*(1+MYP!$M$10)</f>
        <v>0</v>
      </c>
      <c r="J105" s="39">
        <f>+'FY24'!J105*(1+MYP!$M$10)</f>
        <v>0</v>
      </c>
      <c r="K105" s="39">
        <f>+'FY24'!K105*(1+MYP!$M$10)</f>
        <v>0</v>
      </c>
      <c r="L105" s="39">
        <f>+'FY24'!L105*(1+MYP!$M$10)</f>
        <v>0</v>
      </c>
      <c r="M105" s="39">
        <f>+'FY24'!M105*(1+MYP!$M$10)</f>
        <v>0</v>
      </c>
      <c r="N105" s="39">
        <f>+'FY24'!N105*(1+MYP!$M$10)</f>
        <v>0</v>
      </c>
      <c r="O105" s="39">
        <f>+'FY24'!O105*(1+MYP!$M$10)</f>
        <v>0</v>
      </c>
      <c r="P105" s="39">
        <f>+'FY24'!P105*(1+MYP!$M$10)</f>
        <v>0</v>
      </c>
      <c r="Q105" s="100"/>
      <c r="R105" s="41"/>
      <c r="S105" s="59">
        <f t="shared" ref="S105" si="34">SUM(E105:Q105)</f>
        <v>0</v>
      </c>
      <c r="T105" s="41"/>
      <c r="U105" s="39">
        <f>'FY24'!S105</f>
        <v>0</v>
      </c>
      <c r="V105" s="39">
        <f t="shared" ref="V105" si="35">U105-S105</f>
        <v>0</v>
      </c>
      <c r="W105" s="39"/>
    </row>
    <row r="106" spans="3:23" s="37" customFormat="1" ht="12" x14ac:dyDescent="0.2">
      <c r="C106" s="38"/>
      <c r="E106" s="50">
        <f>SUBTOTAL(9,E105)</f>
        <v>0</v>
      </c>
      <c r="F106" s="50">
        <f t="shared" ref="F106:V106" si="36">SUBTOTAL(9,F105)</f>
        <v>0</v>
      </c>
      <c r="G106" s="50">
        <f t="shared" si="36"/>
        <v>0</v>
      </c>
      <c r="H106" s="50">
        <f t="shared" si="36"/>
        <v>0</v>
      </c>
      <c r="I106" s="50">
        <f t="shared" si="36"/>
        <v>0</v>
      </c>
      <c r="J106" s="50">
        <f t="shared" si="36"/>
        <v>0</v>
      </c>
      <c r="K106" s="50">
        <f t="shared" si="36"/>
        <v>0</v>
      </c>
      <c r="L106" s="50">
        <f t="shared" si="36"/>
        <v>0</v>
      </c>
      <c r="M106" s="50">
        <f t="shared" si="36"/>
        <v>0</v>
      </c>
      <c r="N106" s="50">
        <f t="shared" si="36"/>
        <v>0</v>
      </c>
      <c r="O106" s="50">
        <f t="shared" si="36"/>
        <v>0</v>
      </c>
      <c r="P106" s="50">
        <f t="shared" si="36"/>
        <v>0</v>
      </c>
      <c r="Q106" s="99"/>
      <c r="R106" s="41"/>
      <c r="S106" s="61">
        <f t="shared" si="36"/>
        <v>0</v>
      </c>
      <c r="T106" s="41"/>
      <c r="U106" s="50">
        <f t="shared" si="36"/>
        <v>0</v>
      </c>
      <c r="V106" s="50">
        <f t="shared" si="36"/>
        <v>0</v>
      </c>
      <c r="W106" s="39"/>
    </row>
    <row r="107" spans="3:23" s="37" customFormat="1" ht="12" x14ac:dyDescent="0.2">
      <c r="C107" s="49" t="s">
        <v>104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00"/>
      <c r="R107" s="41"/>
      <c r="S107" s="59"/>
      <c r="T107" s="41"/>
      <c r="U107" s="39"/>
      <c r="V107" s="39"/>
      <c r="W107" s="39"/>
    </row>
    <row r="108" spans="3:23" s="37" customFormat="1" ht="12" x14ac:dyDescent="0.2">
      <c r="C108" s="200">
        <v>6810</v>
      </c>
      <c r="D108" s="37" t="s">
        <v>42</v>
      </c>
      <c r="E108" s="39">
        <f>+'FY24'!E108*(1+MYP!$M$10)</f>
        <v>205.66211040000002</v>
      </c>
      <c r="F108" s="39">
        <f>+'FY24'!F108*(1+MYP!$M$10)</f>
        <v>75.770251200000004</v>
      </c>
      <c r="G108" s="39">
        <f>+'FY24'!G108*(1+MYP!$M$10)</f>
        <v>1374.6888432000003</v>
      </c>
      <c r="H108" s="39">
        <f>+'FY24'!H108*(1+MYP!$M$10)</f>
        <v>10.824321600000001</v>
      </c>
      <c r="I108" s="39">
        <f>+'FY24'!I108*(1+MYP!$M$10)</f>
        <v>10.824321600000001</v>
      </c>
      <c r="J108" s="39">
        <f>+'FY24'!J108*(1+MYP!$M$10)</f>
        <v>75.770251200000004</v>
      </c>
      <c r="K108" s="39">
        <f>+'FY24'!K108*(1+MYP!$M$10)</f>
        <v>75.770251200000004</v>
      </c>
      <c r="L108" s="39">
        <f>+'FY24'!L108*(1+MYP!$M$10)</f>
        <v>108.243216</v>
      </c>
      <c r="M108" s="39">
        <f>+'FY24'!M108*(1+MYP!$M$10)</f>
        <v>343.1309947200001</v>
      </c>
      <c r="N108" s="39">
        <f>+'FY24'!N108*(1+MYP!$M$10)</f>
        <v>10.824321600000001</v>
      </c>
      <c r="O108" s="39">
        <f>+'FY24'!O108*(1+MYP!$M$10)</f>
        <v>10.824321600000001</v>
      </c>
      <c r="P108" s="39">
        <f>+'FY24'!P108*(1+MYP!$M$10)</f>
        <v>10.824321600000001</v>
      </c>
      <c r="Q108" s="100"/>
      <c r="R108" s="41"/>
      <c r="S108" s="59">
        <f t="shared" ref="S108" si="37">SUM(E108:Q108)</f>
        <v>2313.1575259200008</v>
      </c>
      <c r="T108" s="41"/>
      <c r="U108" s="39">
        <f>'FY24'!S108</f>
        <v>2267.801496</v>
      </c>
      <c r="V108" s="39">
        <f t="shared" ref="V108" si="38">U108-S108</f>
        <v>-45.356029920000765</v>
      </c>
      <c r="W108" s="39"/>
    </row>
    <row r="109" spans="3:23" s="37" customFormat="1" ht="12" x14ac:dyDescent="0.2">
      <c r="C109" s="38"/>
      <c r="E109" s="50">
        <f>SUBTOTAL(9,E108)</f>
        <v>205.66211040000002</v>
      </c>
      <c r="F109" s="50">
        <f t="shared" ref="F109:P109" si="39">SUBTOTAL(9,F108)</f>
        <v>75.770251200000004</v>
      </c>
      <c r="G109" s="50">
        <f t="shared" si="39"/>
        <v>1374.6888432000003</v>
      </c>
      <c r="H109" s="50">
        <f t="shared" si="39"/>
        <v>10.824321600000001</v>
      </c>
      <c r="I109" s="50">
        <f t="shared" si="39"/>
        <v>10.824321600000001</v>
      </c>
      <c r="J109" s="50">
        <f t="shared" si="39"/>
        <v>75.770251200000004</v>
      </c>
      <c r="K109" s="50">
        <f t="shared" si="39"/>
        <v>75.770251200000004</v>
      </c>
      <c r="L109" s="50">
        <f t="shared" si="39"/>
        <v>108.243216</v>
      </c>
      <c r="M109" s="50">
        <f t="shared" si="39"/>
        <v>343.1309947200001</v>
      </c>
      <c r="N109" s="50">
        <f t="shared" si="39"/>
        <v>10.824321600000001</v>
      </c>
      <c r="O109" s="50">
        <f t="shared" si="39"/>
        <v>10.824321600000001</v>
      </c>
      <c r="P109" s="50">
        <f t="shared" si="39"/>
        <v>10.824321600000001</v>
      </c>
      <c r="Q109" s="99"/>
      <c r="R109" s="41"/>
      <c r="S109" s="61">
        <f t="shared" ref="S109" si="40">SUBTOTAL(9,S108)</f>
        <v>2313.1575259200008</v>
      </c>
      <c r="T109" s="41"/>
      <c r="U109" s="50">
        <f t="shared" ref="U109:V109" si="41">SUBTOTAL(9,U108)</f>
        <v>2267.801496</v>
      </c>
      <c r="V109" s="50">
        <f t="shared" si="41"/>
        <v>-45.356029920000765</v>
      </c>
      <c r="W109" s="39"/>
    </row>
    <row r="110" spans="3:23" s="45" customFormat="1" ht="12" x14ac:dyDescent="0.2">
      <c r="C110" s="49" t="s">
        <v>43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01"/>
      <c r="R110" s="48"/>
      <c r="S110" s="62"/>
      <c r="T110" s="48"/>
      <c r="U110" s="48"/>
      <c r="V110" s="48"/>
      <c r="W110" s="40"/>
    </row>
    <row r="111" spans="3:23" s="37" customFormat="1" ht="12" x14ac:dyDescent="0.2">
      <c r="C111" s="200">
        <v>7306</v>
      </c>
      <c r="D111" s="37" t="s">
        <v>43</v>
      </c>
      <c r="E111" s="39">
        <f>+'FY24'!E111*(1+MYP!$M$10)</f>
        <v>0</v>
      </c>
      <c r="F111" s="39">
        <f>+'FY24'!F111*(1+MYP!$M$10)</f>
        <v>0</v>
      </c>
      <c r="G111" s="39">
        <f>+'FY24'!G111*(1+MYP!$M$10)</f>
        <v>0</v>
      </c>
      <c r="H111" s="39">
        <f>+'FY24'!H111*(1+MYP!$M$10)</f>
        <v>0</v>
      </c>
      <c r="I111" s="39">
        <f>+'FY24'!I111*(1+MYP!$M$10)</f>
        <v>0</v>
      </c>
      <c r="J111" s="39">
        <f>+'FY24'!J111*(1+MYP!$M$10)</f>
        <v>0</v>
      </c>
      <c r="K111" s="39">
        <f>+'FY24'!K111*(1+MYP!$M$10)</f>
        <v>0</v>
      </c>
      <c r="L111" s="39">
        <f>+'FY24'!L111*(1+MYP!$M$10)</f>
        <v>0</v>
      </c>
      <c r="M111" s="39">
        <f>+'FY24'!M111*(1+MYP!$M$10)</f>
        <v>0</v>
      </c>
      <c r="N111" s="39">
        <f>+'FY24'!N111*(1+MYP!$M$10)</f>
        <v>0</v>
      </c>
      <c r="O111" s="39">
        <f>+'FY24'!O111*(1+MYP!$M$10)</f>
        <v>0</v>
      </c>
      <c r="P111" s="39">
        <f>+'FY24'!P111*(1+MYP!$M$10)</f>
        <v>0</v>
      </c>
      <c r="Q111" s="100"/>
      <c r="R111" s="41"/>
      <c r="S111" s="62">
        <f t="shared" ref="S111:S112" si="42">SUM(E111:Q111)</f>
        <v>0</v>
      </c>
      <c r="T111" s="41"/>
      <c r="U111" s="41">
        <f>'FY24'!S111</f>
        <v>0</v>
      </c>
      <c r="V111" s="41">
        <f t="shared" ref="V111" si="43">U111-S111</f>
        <v>0</v>
      </c>
      <c r="W111" s="39"/>
    </row>
    <row r="112" spans="3:23" s="37" customFormat="1" ht="12" x14ac:dyDescent="0.2">
      <c r="C112" s="38">
        <v>7901</v>
      </c>
      <c r="D112" s="37" t="s">
        <v>177</v>
      </c>
      <c r="E112" s="39">
        <f>+'FY24'!E112*(1+MYP!$M$10)</f>
        <v>0</v>
      </c>
      <c r="F112" s="39">
        <f>+'FY24'!F112*(1+MYP!$M$10)</f>
        <v>0</v>
      </c>
      <c r="G112" s="39">
        <f>+'FY24'!G112*(1+MYP!$M$10)</f>
        <v>0</v>
      </c>
      <c r="H112" s="39">
        <f>+'FY24'!H112*(1+MYP!$M$10)</f>
        <v>0</v>
      </c>
      <c r="I112" s="39">
        <f>+'FY24'!I112*(1+MYP!$M$10)</f>
        <v>0</v>
      </c>
      <c r="J112" s="39">
        <f>+'FY24'!J112*(1+MYP!$M$10)</f>
        <v>0</v>
      </c>
      <c r="K112" s="39">
        <f>+'FY24'!K112*(1+MYP!$M$10)</f>
        <v>0</v>
      </c>
      <c r="L112" s="39">
        <f>+'FY24'!L112*(1+MYP!$M$10)</f>
        <v>0</v>
      </c>
      <c r="M112" s="39">
        <f>+'FY24'!M112*(1+MYP!$M$10)</f>
        <v>0</v>
      </c>
      <c r="N112" s="39">
        <f>+'FY24'!N112*(1+MYP!$M$10)</f>
        <v>0</v>
      </c>
      <c r="O112" s="39">
        <f>+'FY24'!O112*(1+MYP!$M$10)</f>
        <v>0</v>
      </c>
      <c r="P112" s="39">
        <f>+'FY24'!P112*(1+MYP!$M$10)</f>
        <v>0</v>
      </c>
      <c r="Q112" s="100"/>
      <c r="R112" s="41"/>
      <c r="S112" s="62">
        <f t="shared" si="42"/>
        <v>0</v>
      </c>
      <c r="T112" s="41"/>
      <c r="U112" s="41">
        <f>'FY24'!S112</f>
        <v>0</v>
      </c>
      <c r="V112" s="41">
        <f t="shared" ref="V112" si="44">U112-S112</f>
        <v>0</v>
      </c>
      <c r="W112" s="39"/>
    </row>
    <row r="113" spans="1:23" s="37" customFormat="1" ht="12" x14ac:dyDescent="0.2">
      <c r="C113" s="38"/>
      <c r="E113" s="50">
        <f>SUBTOTAL(9,E111:E112)</f>
        <v>0</v>
      </c>
      <c r="F113" s="50">
        <f t="shared" ref="F113:P113" si="45">SUBTOTAL(9,F111:F112)</f>
        <v>0</v>
      </c>
      <c r="G113" s="50">
        <f t="shared" si="45"/>
        <v>0</v>
      </c>
      <c r="H113" s="50">
        <f t="shared" si="45"/>
        <v>0</v>
      </c>
      <c r="I113" s="50">
        <f t="shared" si="45"/>
        <v>0</v>
      </c>
      <c r="J113" s="50">
        <f t="shared" si="45"/>
        <v>0</v>
      </c>
      <c r="K113" s="50">
        <f t="shared" si="45"/>
        <v>0</v>
      </c>
      <c r="L113" s="50">
        <f t="shared" si="45"/>
        <v>0</v>
      </c>
      <c r="M113" s="50">
        <f t="shared" si="45"/>
        <v>0</v>
      </c>
      <c r="N113" s="50">
        <f t="shared" si="45"/>
        <v>0</v>
      </c>
      <c r="O113" s="50">
        <f t="shared" si="45"/>
        <v>0</v>
      </c>
      <c r="P113" s="50">
        <f t="shared" si="45"/>
        <v>0</v>
      </c>
      <c r="Q113" s="99"/>
      <c r="R113" s="41"/>
      <c r="S113" s="61">
        <f>SUBTOTAL(9,S111:S112)</f>
        <v>0</v>
      </c>
      <c r="T113" s="41"/>
      <c r="U113" s="50">
        <f>SUBTOTAL(9,U111:U112)</f>
        <v>0</v>
      </c>
      <c r="V113" s="50">
        <f>SUBTOTAL(9,V111:V112)</f>
        <v>0</v>
      </c>
      <c r="W113" s="39"/>
    </row>
    <row r="114" spans="1:23" s="37" customFormat="1" ht="9" customHeight="1" x14ac:dyDescent="0.2">
      <c r="C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00"/>
      <c r="R114" s="41"/>
      <c r="S114" s="59"/>
      <c r="T114" s="41"/>
      <c r="U114" s="39"/>
      <c r="V114" s="39"/>
      <c r="W114" s="39"/>
    </row>
    <row r="115" spans="1:23" s="45" customFormat="1" ht="12" x14ac:dyDescent="0.2">
      <c r="A115" s="45" t="s">
        <v>107</v>
      </c>
      <c r="C115" s="46"/>
      <c r="E115" s="43">
        <f t="shared" ref="E115:P115" si="46">SUBTOTAL(9,E30:E114)</f>
        <v>112333.82661585731</v>
      </c>
      <c r="F115" s="43">
        <f t="shared" si="46"/>
        <v>54705.248816257277</v>
      </c>
      <c r="G115" s="43">
        <f t="shared" si="46"/>
        <v>56789.034096528558</v>
      </c>
      <c r="H115" s="43">
        <f t="shared" si="46"/>
        <v>245093.81500584129</v>
      </c>
      <c r="I115" s="43">
        <f t="shared" si="46"/>
        <v>207300.53681863256</v>
      </c>
      <c r="J115" s="43">
        <f t="shared" si="46"/>
        <v>41093.398318681284</v>
      </c>
      <c r="K115" s="43">
        <f t="shared" si="46"/>
        <v>54545.72050573257</v>
      </c>
      <c r="L115" s="43">
        <f t="shared" si="46"/>
        <v>53095.266282277291</v>
      </c>
      <c r="M115" s="43">
        <f t="shared" si="46"/>
        <v>222136.76695204858</v>
      </c>
      <c r="N115" s="43">
        <f t="shared" si="46"/>
        <v>237062.13980770859</v>
      </c>
      <c r="O115" s="43">
        <f t="shared" si="46"/>
        <v>74696.516479354876</v>
      </c>
      <c r="P115" s="43">
        <f t="shared" si="46"/>
        <v>55130.087202574876</v>
      </c>
      <c r="Q115" s="47"/>
      <c r="R115" s="48"/>
      <c r="S115" s="60">
        <f>SUBTOTAL(9,S30:S114)</f>
        <v>1413982.356901495</v>
      </c>
      <c r="T115" s="48"/>
      <c r="U115" s="43">
        <f>SUBTOTAL(9,U30:U114)</f>
        <v>1366502.2365455832</v>
      </c>
      <c r="V115" s="43">
        <f>SUBTOTAL(9,V30:V114)</f>
        <v>-47480.120355911749</v>
      </c>
      <c r="W115" s="40"/>
    </row>
    <row r="116" spans="1:23" s="37" customFormat="1" ht="12" x14ac:dyDescent="0.2">
      <c r="C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/>
      <c r="R116" s="41"/>
      <c r="S116" s="59"/>
      <c r="T116" s="41"/>
      <c r="U116" s="39"/>
      <c r="V116" s="39"/>
      <c r="W116" s="39"/>
    </row>
    <row r="117" spans="1:23" s="45" customFormat="1" ht="12.75" thickBot="1" x14ac:dyDescent="0.25">
      <c r="A117" s="45" t="s">
        <v>108</v>
      </c>
      <c r="C117" s="46"/>
      <c r="E117" s="182">
        <f t="shared" ref="E117:P117" si="47">E27-E115</f>
        <v>17777.177274142683</v>
      </c>
      <c r="F117" s="182">
        <f t="shared" si="47"/>
        <v>75405.755073742708</v>
      </c>
      <c r="G117" s="182">
        <f t="shared" si="47"/>
        <v>73321.969793471435</v>
      </c>
      <c r="H117" s="182">
        <f t="shared" si="47"/>
        <v>-114982.81111584129</v>
      </c>
      <c r="I117" s="182">
        <f t="shared" si="47"/>
        <v>-77189.532928632572</v>
      </c>
      <c r="J117" s="182">
        <f t="shared" si="47"/>
        <v>89017.605571318709</v>
      </c>
      <c r="K117" s="182">
        <f t="shared" si="47"/>
        <v>75565.283384267415</v>
      </c>
      <c r="L117" s="182">
        <f t="shared" si="47"/>
        <v>77015.737607722695</v>
      </c>
      <c r="M117" s="182">
        <f t="shared" si="47"/>
        <v>-92025.763062048587</v>
      </c>
      <c r="N117" s="182">
        <f t="shared" si="47"/>
        <v>-106951.1359177086</v>
      </c>
      <c r="O117" s="182">
        <f t="shared" si="47"/>
        <v>55414.487410645117</v>
      </c>
      <c r="P117" s="182">
        <f t="shared" si="47"/>
        <v>74975.712247269519</v>
      </c>
      <c r="Q117" s="191"/>
      <c r="R117" s="192"/>
      <c r="S117" s="193">
        <f>S27-S115</f>
        <v>147344.48533834959</v>
      </c>
      <c r="T117" s="192"/>
      <c r="U117" s="182">
        <f>U27-U115</f>
        <v>149349.06659989664</v>
      </c>
      <c r="V117" s="182">
        <f>V27+V115</f>
        <v>-2004.5812615470131</v>
      </c>
      <c r="W117" s="40"/>
    </row>
    <row r="118" spans="1:23" s="37" customFormat="1" ht="12.75" thickTop="1" x14ac:dyDescent="0.2">
      <c r="C118" s="3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/>
      <c r="R118" s="41"/>
      <c r="S118" s="59"/>
      <c r="T118" s="41"/>
      <c r="U118" s="39"/>
      <c r="V118" s="39"/>
      <c r="W118" s="39"/>
    </row>
    <row r="119" spans="1:23" s="37" customFormat="1" ht="12" x14ac:dyDescent="0.2">
      <c r="A119" s="53" t="s">
        <v>109</v>
      </c>
      <c r="B119" s="54"/>
      <c r="C119" s="54"/>
      <c r="D119" s="54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/>
      <c r="R119" s="41"/>
      <c r="S119" s="59"/>
      <c r="T119" s="41"/>
      <c r="U119" s="39"/>
      <c r="V119" s="39"/>
      <c r="W119" s="39"/>
    </row>
    <row r="120" spans="1:23" s="37" customFormat="1" ht="12" x14ac:dyDescent="0.2">
      <c r="A120" s="53"/>
      <c r="B120" s="53"/>
      <c r="C120" s="54" t="s">
        <v>110</v>
      </c>
      <c r="D120" s="54"/>
      <c r="E120" s="39">
        <f>E117</f>
        <v>17777.177274142683</v>
      </c>
      <c r="F120" s="39">
        <f t="shared" ref="F120:P120" si="48">F117</f>
        <v>75405.755073742708</v>
      </c>
      <c r="G120" s="39">
        <f t="shared" si="48"/>
        <v>73321.969793471435</v>
      </c>
      <c r="H120" s="39">
        <f t="shared" si="48"/>
        <v>-114982.81111584129</v>
      </c>
      <c r="I120" s="39">
        <f t="shared" si="48"/>
        <v>-77189.532928632572</v>
      </c>
      <c r="J120" s="39">
        <f t="shared" si="48"/>
        <v>89017.605571318709</v>
      </c>
      <c r="K120" s="39">
        <f t="shared" si="48"/>
        <v>75565.283384267415</v>
      </c>
      <c r="L120" s="39">
        <f t="shared" si="48"/>
        <v>77015.737607722695</v>
      </c>
      <c r="M120" s="39">
        <f t="shared" si="48"/>
        <v>-92025.763062048587</v>
      </c>
      <c r="N120" s="39">
        <f t="shared" si="48"/>
        <v>-106951.1359177086</v>
      </c>
      <c r="O120" s="39">
        <f t="shared" si="48"/>
        <v>55414.487410645117</v>
      </c>
      <c r="P120" s="39">
        <f t="shared" si="48"/>
        <v>74975.712247269519</v>
      </c>
      <c r="Q120" s="44"/>
      <c r="R120" s="41"/>
      <c r="S120" s="59">
        <f t="shared" ref="S120:S136" si="49">SUM(E120:Q120)</f>
        <v>147344.48533834924</v>
      </c>
      <c r="T120" s="41"/>
      <c r="U120" s="39"/>
      <c r="V120" s="39"/>
      <c r="W120" s="39"/>
    </row>
    <row r="121" spans="1:23" s="37" customFormat="1" ht="12" x14ac:dyDescent="0.2">
      <c r="A121" s="54"/>
      <c r="B121" s="54" t="s">
        <v>111</v>
      </c>
      <c r="C121" s="54" t="s">
        <v>112</v>
      </c>
      <c r="D121" s="5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/>
      <c r="R121" s="41"/>
      <c r="S121" s="59"/>
      <c r="T121" s="41"/>
      <c r="U121" s="39"/>
      <c r="V121" s="39"/>
      <c r="W121" s="39"/>
    </row>
    <row r="122" spans="1:23" s="37" customFormat="1" ht="12" x14ac:dyDescent="0.2">
      <c r="A122" s="54"/>
      <c r="B122" s="54" t="s">
        <v>111</v>
      </c>
      <c r="C122" s="54"/>
      <c r="D122" s="55" t="s">
        <v>113</v>
      </c>
      <c r="E122" s="39">
        <f>E112</f>
        <v>0</v>
      </c>
      <c r="F122" s="39">
        <f t="shared" ref="F122:P122" si="50">F112</f>
        <v>0</v>
      </c>
      <c r="G122" s="39">
        <f t="shared" si="50"/>
        <v>0</v>
      </c>
      <c r="H122" s="39">
        <f t="shared" si="50"/>
        <v>0</v>
      </c>
      <c r="I122" s="39">
        <f t="shared" si="50"/>
        <v>0</v>
      </c>
      <c r="J122" s="39">
        <f t="shared" si="50"/>
        <v>0</v>
      </c>
      <c r="K122" s="39">
        <f t="shared" si="50"/>
        <v>0</v>
      </c>
      <c r="L122" s="39">
        <f t="shared" si="50"/>
        <v>0</v>
      </c>
      <c r="M122" s="39">
        <f t="shared" si="50"/>
        <v>0</v>
      </c>
      <c r="N122" s="39">
        <f t="shared" si="50"/>
        <v>0</v>
      </c>
      <c r="O122" s="39">
        <f t="shared" si="50"/>
        <v>0</v>
      </c>
      <c r="P122" s="39">
        <f t="shared" si="50"/>
        <v>0</v>
      </c>
      <c r="Q122" s="44"/>
      <c r="R122" s="41"/>
      <c r="S122" s="59">
        <f t="shared" si="49"/>
        <v>0</v>
      </c>
      <c r="T122" s="41"/>
      <c r="U122" s="39"/>
      <c r="V122" s="39"/>
      <c r="W122" s="39"/>
    </row>
    <row r="123" spans="1:23" s="37" customFormat="1" ht="12" x14ac:dyDescent="0.2">
      <c r="A123" s="54"/>
      <c r="B123" s="54" t="s">
        <v>111</v>
      </c>
      <c r="C123" s="54"/>
      <c r="D123" s="55" t="s">
        <v>114</v>
      </c>
      <c r="E123" s="39">
        <f>-'FY24'!Q123</f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4"/>
      <c r="R123" s="41"/>
      <c r="S123" s="59">
        <f t="shared" si="49"/>
        <v>0</v>
      </c>
      <c r="T123" s="41"/>
      <c r="U123" s="39"/>
      <c r="V123" s="39"/>
      <c r="W123" s="39"/>
    </row>
    <row r="124" spans="1:23" s="37" customFormat="1" ht="12" x14ac:dyDescent="0.2">
      <c r="A124" s="54"/>
      <c r="B124" s="54" t="s">
        <v>111</v>
      </c>
      <c r="C124" s="54"/>
      <c r="D124" s="55" t="s">
        <v>115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4"/>
      <c r="R124" s="41"/>
      <c r="S124" s="59">
        <f t="shared" si="49"/>
        <v>0</v>
      </c>
      <c r="T124" s="41"/>
      <c r="U124" s="39"/>
      <c r="V124" s="39"/>
      <c r="W124" s="39"/>
    </row>
    <row r="125" spans="1:23" s="37" customFormat="1" ht="12" x14ac:dyDescent="0.2">
      <c r="A125" s="54"/>
      <c r="B125" s="54" t="s">
        <v>111</v>
      </c>
      <c r="C125" s="54"/>
      <c r="D125" s="55" t="s">
        <v>116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44"/>
      <c r="R125" s="41"/>
      <c r="S125" s="59">
        <f t="shared" si="49"/>
        <v>0</v>
      </c>
      <c r="T125" s="41"/>
      <c r="U125" s="39"/>
      <c r="V125" s="39"/>
      <c r="W125" s="39"/>
    </row>
    <row r="126" spans="1:23" s="37" customFormat="1" ht="12" x14ac:dyDescent="0.2">
      <c r="A126" s="54"/>
      <c r="B126" s="54" t="s">
        <v>111</v>
      </c>
      <c r="C126" s="54"/>
      <c r="D126" s="55" t="s">
        <v>117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4"/>
      <c r="R126" s="41"/>
      <c r="S126" s="59">
        <f t="shared" si="49"/>
        <v>0</v>
      </c>
      <c r="T126" s="41"/>
      <c r="U126" s="39"/>
      <c r="V126" s="39"/>
      <c r="W126" s="39"/>
    </row>
    <row r="127" spans="1:23" s="37" customFormat="1" ht="12" x14ac:dyDescent="0.2">
      <c r="A127" s="54"/>
      <c r="B127" s="54" t="s">
        <v>111</v>
      </c>
      <c r="C127" s="54"/>
      <c r="D127" s="55" t="s">
        <v>118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44"/>
      <c r="R127" s="41"/>
      <c r="S127" s="59">
        <f t="shared" si="49"/>
        <v>0</v>
      </c>
      <c r="T127" s="41"/>
      <c r="U127" s="39"/>
      <c r="V127" s="39"/>
      <c r="W127" s="39"/>
    </row>
    <row r="128" spans="1:23" s="37" customFormat="1" ht="12" x14ac:dyDescent="0.2">
      <c r="A128" s="54"/>
      <c r="B128" s="54" t="s">
        <v>111</v>
      </c>
      <c r="C128" s="54"/>
      <c r="D128" s="55" t="s">
        <v>119</v>
      </c>
      <c r="E128" s="39">
        <f>-'FY24'!Q128</f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4"/>
      <c r="R128" s="41"/>
      <c r="S128" s="59">
        <f t="shared" si="49"/>
        <v>0</v>
      </c>
      <c r="T128" s="41"/>
      <c r="U128" s="39"/>
      <c r="V128" s="39"/>
      <c r="W128" s="39"/>
    </row>
    <row r="129" spans="1:23" s="37" customFormat="1" ht="12" x14ac:dyDescent="0.2">
      <c r="A129" s="54"/>
      <c r="B129" s="54" t="s">
        <v>111</v>
      </c>
      <c r="C129" s="54"/>
      <c r="D129" s="55" t="s">
        <v>120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44"/>
      <c r="R129" s="41"/>
      <c r="S129" s="59">
        <f t="shared" si="49"/>
        <v>0</v>
      </c>
      <c r="T129" s="41"/>
      <c r="U129" s="39"/>
      <c r="V129" s="39"/>
      <c r="W129" s="39"/>
    </row>
    <row r="130" spans="1:23" s="37" customFormat="1" ht="12" x14ac:dyDescent="0.2">
      <c r="A130" s="54"/>
      <c r="B130" s="54" t="s">
        <v>111</v>
      </c>
      <c r="C130" s="54"/>
      <c r="D130" s="55" t="s">
        <v>121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44"/>
      <c r="R130" s="41"/>
      <c r="S130" s="59">
        <f t="shared" si="49"/>
        <v>0</v>
      </c>
      <c r="T130" s="41"/>
      <c r="U130" s="39"/>
      <c r="V130" s="39"/>
      <c r="W130" s="39"/>
    </row>
    <row r="131" spans="1:23" s="37" customFormat="1" ht="12" x14ac:dyDescent="0.2">
      <c r="A131" s="54"/>
      <c r="B131" s="54" t="s">
        <v>111</v>
      </c>
      <c r="C131" s="54" t="s">
        <v>122</v>
      </c>
      <c r="D131" s="55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/>
      <c r="R131" s="41"/>
      <c r="S131" s="59"/>
      <c r="T131" s="41"/>
      <c r="U131" s="39"/>
      <c r="V131" s="39"/>
      <c r="W131" s="39"/>
    </row>
    <row r="132" spans="1:23" s="37" customFormat="1" ht="12" x14ac:dyDescent="0.2">
      <c r="A132" s="54"/>
      <c r="B132" s="54" t="s">
        <v>111</v>
      </c>
      <c r="C132" s="54"/>
      <c r="D132" s="55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4"/>
      <c r="R132" s="41"/>
      <c r="S132" s="59">
        <f t="shared" si="49"/>
        <v>0</v>
      </c>
      <c r="T132" s="41"/>
      <c r="U132" s="39"/>
      <c r="V132" s="39"/>
      <c r="W132" s="39"/>
    </row>
    <row r="133" spans="1:23" s="37" customFormat="1" ht="12" x14ac:dyDescent="0.2">
      <c r="A133" s="54"/>
      <c r="B133" s="54"/>
      <c r="C133" s="54"/>
      <c r="D133" s="54" t="s">
        <v>124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44"/>
      <c r="R133" s="41"/>
      <c r="S133" s="59">
        <f t="shared" si="49"/>
        <v>0</v>
      </c>
      <c r="T133" s="41"/>
      <c r="U133" s="39"/>
      <c r="V133" s="39"/>
      <c r="W133" s="39"/>
    </row>
    <row r="134" spans="1:23" s="37" customFormat="1" ht="12" x14ac:dyDescent="0.2">
      <c r="A134" s="54"/>
      <c r="B134" s="54"/>
      <c r="C134" s="54" t="s">
        <v>125</v>
      </c>
      <c r="D134" s="5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/>
      <c r="R134" s="41"/>
      <c r="S134" s="59"/>
      <c r="T134" s="41"/>
      <c r="U134" s="39"/>
      <c r="V134" s="39"/>
      <c r="W134" s="39"/>
    </row>
    <row r="135" spans="1:23" s="37" customFormat="1" ht="12" x14ac:dyDescent="0.2">
      <c r="A135" s="54"/>
      <c r="B135" s="54"/>
      <c r="C135" s="54"/>
      <c r="D135" s="54" t="s">
        <v>129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44"/>
      <c r="R135" s="41"/>
      <c r="S135" s="59">
        <f t="shared" si="49"/>
        <v>0</v>
      </c>
      <c r="T135" s="41"/>
      <c r="U135" s="39"/>
      <c r="V135" s="39"/>
      <c r="W135" s="39"/>
    </row>
    <row r="136" spans="1:23" s="37" customFormat="1" ht="12" x14ac:dyDescent="0.2">
      <c r="A136" s="54"/>
      <c r="B136" s="54"/>
      <c r="C136" s="54"/>
      <c r="D136" s="54" t="s">
        <v>130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7"/>
      <c r="R136" s="41"/>
      <c r="S136" s="59">
        <f t="shared" si="49"/>
        <v>0</v>
      </c>
      <c r="T136" s="41"/>
      <c r="U136" s="39"/>
      <c r="V136" s="39"/>
      <c r="W136" s="39"/>
    </row>
    <row r="137" spans="1:23" s="37" customFormat="1" ht="12" x14ac:dyDescent="0.2">
      <c r="A137" s="54"/>
      <c r="B137" s="54"/>
      <c r="C137" s="54"/>
      <c r="D137" s="5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1"/>
      <c r="S137" s="40"/>
      <c r="T137" s="41"/>
      <c r="U137" s="39"/>
      <c r="V137" s="39"/>
      <c r="W137" s="39"/>
    </row>
    <row r="138" spans="1:23" s="37" customFormat="1" ht="12" x14ac:dyDescent="0.2">
      <c r="A138" s="54"/>
      <c r="B138" s="54" t="s">
        <v>126</v>
      </c>
      <c r="C138" s="54"/>
      <c r="D138" s="54"/>
      <c r="E138" s="39">
        <f>SUM(E120:E136)</f>
        <v>17777.177274142683</v>
      </c>
      <c r="F138" s="39">
        <f>SUM(F120:F136)</f>
        <v>75405.755073742708</v>
      </c>
      <c r="G138" s="39">
        <f t="shared" ref="G138:P138" si="51">SUM(G120:G136)</f>
        <v>73321.969793471435</v>
      </c>
      <c r="H138" s="39">
        <f t="shared" si="51"/>
        <v>-114982.81111584129</v>
      </c>
      <c r="I138" s="39">
        <f t="shared" si="51"/>
        <v>-77189.532928632572</v>
      </c>
      <c r="J138" s="39">
        <f t="shared" si="51"/>
        <v>89017.605571318709</v>
      </c>
      <c r="K138" s="39">
        <f t="shared" si="51"/>
        <v>75565.283384267415</v>
      </c>
      <c r="L138" s="39">
        <f t="shared" si="51"/>
        <v>77015.737607722695</v>
      </c>
      <c r="M138" s="39">
        <f t="shared" si="51"/>
        <v>-92025.763062048587</v>
      </c>
      <c r="N138" s="39">
        <f t="shared" si="51"/>
        <v>-106951.1359177086</v>
      </c>
      <c r="O138" s="39">
        <f t="shared" si="51"/>
        <v>55414.487410645117</v>
      </c>
      <c r="P138" s="39">
        <f t="shared" si="51"/>
        <v>74975.712247269519</v>
      </c>
      <c r="Q138" s="39"/>
      <c r="R138" s="41"/>
      <c r="S138" s="40"/>
      <c r="T138" s="41"/>
      <c r="U138" s="39"/>
      <c r="V138" s="39"/>
      <c r="W138" s="39"/>
    </row>
    <row r="139" spans="1:23" s="37" customFormat="1" ht="12" x14ac:dyDescent="0.2">
      <c r="A139" s="54"/>
      <c r="B139" s="54" t="s">
        <v>127</v>
      </c>
      <c r="C139" s="54"/>
      <c r="D139" s="54"/>
      <c r="E139" s="42">
        <f>'FY24'!P141</f>
        <v>429954.82396173349</v>
      </c>
      <c r="F139" s="42">
        <f>E141</f>
        <v>447732.00123587617</v>
      </c>
      <c r="G139" s="42">
        <f t="shared" ref="G139:P139" si="52">F141</f>
        <v>523137.75630961888</v>
      </c>
      <c r="H139" s="42">
        <f t="shared" si="52"/>
        <v>596459.72610309033</v>
      </c>
      <c r="I139" s="42">
        <f t="shared" si="52"/>
        <v>481476.91498724907</v>
      </c>
      <c r="J139" s="42">
        <f t="shared" si="52"/>
        <v>404287.38205861649</v>
      </c>
      <c r="K139" s="42">
        <f t="shared" si="52"/>
        <v>493304.9876299352</v>
      </c>
      <c r="L139" s="42">
        <f t="shared" si="52"/>
        <v>568870.27101420262</v>
      </c>
      <c r="M139" s="42">
        <f t="shared" si="52"/>
        <v>645886.00862192526</v>
      </c>
      <c r="N139" s="42">
        <f t="shared" si="52"/>
        <v>553860.24555987667</v>
      </c>
      <c r="O139" s="42">
        <f t="shared" si="52"/>
        <v>446909.10964216804</v>
      </c>
      <c r="P139" s="42">
        <f t="shared" si="52"/>
        <v>502323.59705281316</v>
      </c>
      <c r="Q139" s="39"/>
      <c r="R139" s="41"/>
      <c r="S139" s="40"/>
      <c r="T139" s="41"/>
      <c r="U139" s="39"/>
      <c r="V139" s="39"/>
      <c r="W139" s="39"/>
    </row>
    <row r="140" spans="1:23" s="37" customFormat="1" ht="12" x14ac:dyDescent="0.2">
      <c r="A140" s="54"/>
      <c r="B140" s="54"/>
      <c r="C140" s="54"/>
      <c r="D140" s="5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1"/>
      <c r="S140" s="40"/>
      <c r="T140" s="41"/>
      <c r="U140" s="39"/>
      <c r="V140" s="39"/>
      <c r="W140" s="39"/>
    </row>
    <row r="141" spans="1:23" s="37" customFormat="1" ht="12.75" thickBot="1" x14ac:dyDescent="0.25">
      <c r="A141" s="53"/>
      <c r="B141" s="53" t="s">
        <v>128</v>
      </c>
      <c r="C141" s="53"/>
      <c r="D141" s="53"/>
      <c r="E141" s="195">
        <f>SUM(E138:E140)</f>
        <v>447732.00123587617</v>
      </c>
      <c r="F141" s="195">
        <f>SUM(F138:F140)</f>
        <v>523137.75630961888</v>
      </c>
      <c r="G141" s="195">
        <f t="shared" ref="G141:P141" si="53">SUM(G138:G140)</f>
        <v>596459.72610309033</v>
      </c>
      <c r="H141" s="195">
        <f t="shared" si="53"/>
        <v>481476.91498724907</v>
      </c>
      <c r="I141" s="195">
        <f t="shared" si="53"/>
        <v>404287.38205861649</v>
      </c>
      <c r="J141" s="195">
        <f t="shared" si="53"/>
        <v>493304.9876299352</v>
      </c>
      <c r="K141" s="195">
        <f t="shared" si="53"/>
        <v>568870.27101420262</v>
      </c>
      <c r="L141" s="195">
        <f t="shared" si="53"/>
        <v>645886.00862192526</v>
      </c>
      <c r="M141" s="195">
        <f t="shared" si="53"/>
        <v>553860.24555987667</v>
      </c>
      <c r="N141" s="195">
        <f t="shared" si="53"/>
        <v>446909.10964216804</v>
      </c>
      <c r="O141" s="195">
        <f t="shared" si="53"/>
        <v>502323.59705281316</v>
      </c>
      <c r="P141" s="195">
        <f t="shared" si="53"/>
        <v>577299.30930008274</v>
      </c>
      <c r="Q141" s="39"/>
      <c r="R141" s="41"/>
      <c r="S141" s="40"/>
      <c r="T141" s="41"/>
      <c r="U141" s="39"/>
      <c r="V141" s="39"/>
      <c r="W141" s="39"/>
    </row>
    <row r="142" spans="1:23" s="37" customFormat="1" ht="12.75" thickTop="1" x14ac:dyDescent="0.2">
      <c r="C142" s="3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1"/>
      <c r="S142" s="40"/>
      <c r="T142" s="41"/>
      <c r="U142" s="39"/>
      <c r="V142" s="39"/>
      <c r="W142" s="39"/>
    </row>
    <row r="143" spans="1:23" s="37" customFormat="1" ht="12" x14ac:dyDescent="0.2">
      <c r="C143" s="3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41"/>
      <c r="S143" s="40"/>
      <c r="T143" s="41"/>
      <c r="U143" s="39"/>
      <c r="V143" s="39"/>
      <c r="W143" s="39"/>
    </row>
    <row r="144" spans="1:23" s="37" customFormat="1" ht="12" x14ac:dyDescent="0.2">
      <c r="C144" s="3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1"/>
      <c r="S144" s="40"/>
      <c r="T144" s="41"/>
      <c r="U144" s="39"/>
      <c r="V144" s="39"/>
      <c r="W144" s="39"/>
    </row>
    <row r="145" spans="3:23" s="37" customFormat="1" ht="12" x14ac:dyDescent="0.2">
      <c r="C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41"/>
      <c r="S145" s="40"/>
      <c r="T145" s="41"/>
      <c r="U145" s="39"/>
      <c r="V145" s="39"/>
      <c r="W145" s="39"/>
    </row>
    <row r="146" spans="3:23" s="37" customFormat="1" ht="12" x14ac:dyDescent="0.2">
      <c r="C146" s="3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1"/>
      <c r="S146" s="40"/>
      <c r="T146" s="41"/>
      <c r="U146" s="39"/>
      <c r="V146" s="39"/>
      <c r="W146" s="39"/>
    </row>
    <row r="147" spans="3:23" s="37" customFormat="1" ht="12" x14ac:dyDescent="0.2">
      <c r="C147" s="3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41"/>
      <c r="S147" s="40"/>
      <c r="T147" s="41"/>
      <c r="U147" s="39"/>
      <c r="V147" s="39"/>
      <c r="W147" s="39"/>
    </row>
    <row r="148" spans="3:23" s="37" customFormat="1" ht="12" x14ac:dyDescent="0.2">
      <c r="C148" s="3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1"/>
      <c r="S148" s="40"/>
      <c r="T148" s="41"/>
      <c r="U148" s="39"/>
      <c r="V148" s="39"/>
      <c r="W148" s="39"/>
    </row>
    <row r="149" spans="3:23" s="37" customFormat="1" ht="12" x14ac:dyDescent="0.2">
      <c r="C149" s="3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1"/>
      <c r="S149" s="40"/>
      <c r="T149" s="41"/>
      <c r="U149" s="39"/>
      <c r="V149" s="39"/>
      <c r="W149" s="39"/>
    </row>
    <row r="150" spans="3:23" s="37" customFormat="1" ht="12" x14ac:dyDescent="0.2">
      <c r="C150" s="3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1"/>
      <c r="S150" s="40"/>
      <c r="T150" s="41"/>
      <c r="U150" s="39"/>
      <c r="V150" s="39"/>
      <c r="W150" s="39"/>
    </row>
    <row r="151" spans="3:23" s="37" customFormat="1" ht="12" x14ac:dyDescent="0.2">
      <c r="C151" s="3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1"/>
      <c r="S151" s="40"/>
      <c r="T151" s="41"/>
      <c r="U151" s="39"/>
      <c r="V151" s="39"/>
      <c r="W151" s="39"/>
    </row>
    <row r="152" spans="3:23" s="37" customFormat="1" ht="12" x14ac:dyDescent="0.2">
      <c r="C152" s="3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1"/>
      <c r="S152" s="40"/>
      <c r="T152" s="41"/>
      <c r="U152" s="39"/>
      <c r="V152" s="39"/>
      <c r="W152" s="39"/>
    </row>
    <row r="153" spans="3:23" s="37" customFormat="1" ht="12" x14ac:dyDescent="0.2">
      <c r="C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41"/>
      <c r="S153" s="40"/>
      <c r="T153" s="41"/>
      <c r="U153" s="39"/>
      <c r="V153" s="39"/>
      <c r="W153" s="39"/>
    </row>
    <row r="154" spans="3:23" s="37" customFormat="1" ht="12" x14ac:dyDescent="0.2">
      <c r="C154" s="3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1"/>
      <c r="S154" s="40"/>
      <c r="T154" s="41"/>
      <c r="U154" s="39"/>
      <c r="V154" s="39"/>
      <c r="W154" s="39"/>
    </row>
    <row r="155" spans="3:23" s="37" customFormat="1" ht="12" x14ac:dyDescent="0.2">
      <c r="C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41"/>
      <c r="S155" s="40"/>
      <c r="T155" s="41"/>
      <c r="U155" s="39"/>
      <c r="V155" s="39"/>
      <c r="W155" s="39"/>
    </row>
    <row r="156" spans="3:23" s="37" customFormat="1" ht="12" x14ac:dyDescent="0.2">
      <c r="C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1"/>
      <c r="S156" s="40"/>
      <c r="T156" s="41"/>
      <c r="U156" s="39"/>
      <c r="V156" s="39"/>
      <c r="W156" s="39"/>
    </row>
    <row r="157" spans="3:23" s="37" customFormat="1" ht="12" x14ac:dyDescent="0.2">
      <c r="C157" s="3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41"/>
      <c r="S157" s="40"/>
      <c r="T157" s="41"/>
      <c r="U157" s="39"/>
      <c r="V157" s="39"/>
      <c r="W157" s="39"/>
    </row>
    <row r="158" spans="3:23" s="37" customFormat="1" ht="12" x14ac:dyDescent="0.2">
      <c r="C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1"/>
      <c r="S158" s="40"/>
      <c r="T158" s="41"/>
      <c r="U158" s="39"/>
      <c r="V158" s="39"/>
      <c r="W158" s="39"/>
    </row>
    <row r="159" spans="3:23" s="37" customFormat="1" ht="12" x14ac:dyDescent="0.2">
      <c r="C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41"/>
      <c r="S159" s="40"/>
      <c r="T159" s="41"/>
      <c r="U159" s="39"/>
      <c r="V159" s="39"/>
      <c r="W159" s="39"/>
    </row>
    <row r="160" spans="3:23" s="37" customFormat="1" ht="12" x14ac:dyDescent="0.2">
      <c r="C160" s="3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1"/>
      <c r="S160" s="40"/>
      <c r="T160" s="41"/>
      <c r="U160" s="39"/>
      <c r="V160" s="39"/>
      <c r="W160" s="39"/>
    </row>
    <row r="161" spans="3:23" s="37" customFormat="1" ht="12" x14ac:dyDescent="0.2">
      <c r="C161" s="3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41"/>
      <c r="S161" s="40"/>
      <c r="T161" s="41"/>
      <c r="U161" s="39"/>
      <c r="V161" s="39"/>
      <c r="W161" s="39"/>
    </row>
    <row r="162" spans="3:23" s="37" customFormat="1" ht="12" x14ac:dyDescent="0.2">
      <c r="C162" s="3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1"/>
      <c r="S162" s="40"/>
      <c r="T162" s="41"/>
      <c r="U162" s="39"/>
      <c r="V162" s="39"/>
      <c r="W162" s="39"/>
    </row>
    <row r="163" spans="3:23" s="37" customFormat="1" ht="12" x14ac:dyDescent="0.2">
      <c r="C163" s="3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41"/>
      <c r="S163" s="40"/>
      <c r="T163" s="41"/>
      <c r="U163" s="39"/>
      <c r="V163" s="39"/>
      <c r="W163" s="39"/>
    </row>
    <row r="164" spans="3:23" s="37" customFormat="1" ht="12" x14ac:dyDescent="0.2">
      <c r="C164" s="3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1"/>
      <c r="S164" s="40"/>
      <c r="T164" s="41"/>
      <c r="U164" s="39"/>
      <c r="V164" s="39"/>
      <c r="W164" s="39"/>
    </row>
    <row r="165" spans="3:23" s="37" customFormat="1" ht="12" x14ac:dyDescent="0.2">
      <c r="C165" s="3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41"/>
      <c r="S165" s="40"/>
      <c r="T165" s="41"/>
      <c r="U165" s="39"/>
      <c r="V165" s="39"/>
      <c r="W165" s="39"/>
    </row>
    <row r="166" spans="3:23" s="37" customFormat="1" ht="12" x14ac:dyDescent="0.2">
      <c r="C166" s="3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1"/>
      <c r="S166" s="40"/>
      <c r="T166" s="41"/>
      <c r="U166" s="39"/>
      <c r="V166" s="39"/>
      <c r="W166" s="39"/>
    </row>
    <row r="167" spans="3:23" s="37" customFormat="1" ht="12" x14ac:dyDescent="0.2">
      <c r="C167" s="3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41"/>
      <c r="S167" s="40"/>
      <c r="T167" s="41"/>
      <c r="U167" s="39"/>
      <c r="V167" s="39"/>
      <c r="W167" s="39"/>
    </row>
    <row r="168" spans="3:23" s="37" customFormat="1" ht="12" x14ac:dyDescent="0.2">
      <c r="C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1"/>
      <c r="S168" s="40"/>
      <c r="T168" s="41"/>
      <c r="U168" s="39"/>
      <c r="V168" s="39"/>
      <c r="W168" s="39"/>
    </row>
    <row r="169" spans="3:23" s="37" customFormat="1" ht="12" x14ac:dyDescent="0.2">
      <c r="C169" s="3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1"/>
      <c r="S169" s="40"/>
      <c r="T169" s="41"/>
      <c r="U169" s="39"/>
      <c r="V169" s="39"/>
      <c r="W169" s="39"/>
    </row>
    <row r="170" spans="3:23" s="37" customFormat="1" ht="12" x14ac:dyDescent="0.2">
      <c r="C170" s="3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1"/>
      <c r="S170" s="40"/>
      <c r="T170" s="41"/>
      <c r="U170" s="39"/>
      <c r="V170" s="39"/>
      <c r="W170" s="39"/>
    </row>
    <row r="171" spans="3:23" s="37" customFormat="1" ht="12" x14ac:dyDescent="0.2">
      <c r="C171" s="3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41"/>
      <c r="S171" s="40"/>
      <c r="T171" s="41"/>
      <c r="U171" s="39"/>
      <c r="V171" s="39"/>
      <c r="W171" s="39"/>
    </row>
    <row r="172" spans="3:23" s="37" customFormat="1" ht="12" x14ac:dyDescent="0.2">
      <c r="C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/>
      <c r="S172" s="40"/>
      <c r="T172" s="41"/>
      <c r="U172" s="39"/>
      <c r="V172" s="39"/>
      <c r="W172" s="39"/>
    </row>
    <row r="173" spans="3:23" s="37" customFormat="1" ht="12" x14ac:dyDescent="0.2">
      <c r="C173" s="3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1"/>
      <c r="S173" s="40"/>
      <c r="T173" s="41"/>
      <c r="U173" s="39"/>
      <c r="V173" s="39"/>
      <c r="W173" s="39"/>
    </row>
    <row r="174" spans="3:23" s="37" customFormat="1" ht="12" x14ac:dyDescent="0.2">
      <c r="C174" s="3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1"/>
      <c r="S174" s="40"/>
      <c r="T174" s="41"/>
      <c r="U174" s="39"/>
      <c r="V174" s="39"/>
      <c r="W174" s="39"/>
    </row>
    <row r="175" spans="3:23" s="37" customFormat="1" ht="12" x14ac:dyDescent="0.2">
      <c r="C175" s="3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1"/>
      <c r="S175" s="40"/>
      <c r="T175" s="41"/>
      <c r="U175" s="39"/>
      <c r="V175" s="39"/>
      <c r="W175" s="39"/>
    </row>
    <row r="176" spans="3:23" s="37" customFormat="1" ht="12" x14ac:dyDescent="0.2">
      <c r="C176" s="3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41"/>
      <c r="S176" s="40"/>
      <c r="T176" s="41"/>
      <c r="U176" s="39"/>
      <c r="V176" s="39"/>
      <c r="W176" s="39"/>
    </row>
    <row r="177" spans="3:23" s="37" customFormat="1" ht="12" x14ac:dyDescent="0.2">
      <c r="C177" s="3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1"/>
      <c r="S177" s="40"/>
      <c r="T177" s="41"/>
      <c r="U177" s="39"/>
      <c r="V177" s="39"/>
      <c r="W177" s="39"/>
    </row>
    <row r="178" spans="3:23" s="37" customFormat="1" ht="12" x14ac:dyDescent="0.2">
      <c r="C178" s="3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41"/>
      <c r="S178" s="40"/>
      <c r="T178" s="41"/>
      <c r="U178" s="39"/>
      <c r="V178" s="39"/>
      <c r="W178" s="39"/>
    </row>
    <row r="179" spans="3:23" s="37" customFormat="1" ht="12" x14ac:dyDescent="0.2">
      <c r="C179" s="3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41"/>
      <c r="S179" s="40"/>
      <c r="T179" s="41"/>
      <c r="U179" s="39"/>
      <c r="V179" s="39"/>
      <c r="W179" s="39"/>
    </row>
    <row r="180" spans="3:23" s="37" customFormat="1" ht="12" x14ac:dyDescent="0.2">
      <c r="C180" s="3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41"/>
      <c r="S180" s="40"/>
      <c r="T180" s="41"/>
      <c r="U180" s="39"/>
      <c r="V180" s="39"/>
      <c r="W180" s="39"/>
    </row>
    <row r="181" spans="3:23" s="37" customFormat="1" ht="12" x14ac:dyDescent="0.2">
      <c r="C181" s="3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1"/>
      <c r="S181" s="40"/>
      <c r="T181" s="41"/>
      <c r="U181" s="39"/>
      <c r="V181" s="39"/>
      <c r="W181" s="39"/>
    </row>
    <row r="182" spans="3:23" s="37" customFormat="1" ht="12" x14ac:dyDescent="0.2">
      <c r="C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41"/>
      <c r="S182" s="40"/>
      <c r="T182" s="41"/>
      <c r="U182" s="39"/>
      <c r="V182" s="39"/>
      <c r="W182" s="39"/>
    </row>
    <row r="183" spans="3:23" s="37" customFormat="1" ht="12" x14ac:dyDescent="0.2">
      <c r="C183" s="3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41"/>
      <c r="S183" s="40"/>
      <c r="T183" s="41"/>
      <c r="U183" s="39"/>
      <c r="V183" s="39"/>
      <c r="W183" s="39"/>
    </row>
    <row r="184" spans="3:23" s="37" customFormat="1" ht="12" x14ac:dyDescent="0.2">
      <c r="C184" s="3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1"/>
      <c r="S184" s="40"/>
      <c r="T184" s="41"/>
      <c r="U184" s="39"/>
      <c r="V184" s="39"/>
      <c r="W184" s="39"/>
    </row>
    <row r="185" spans="3:23" s="37" customFormat="1" ht="12" x14ac:dyDescent="0.2">
      <c r="C185" s="3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41"/>
      <c r="S185" s="40"/>
      <c r="T185" s="41"/>
      <c r="U185" s="39"/>
      <c r="V185" s="39"/>
      <c r="W185" s="39"/>
    </row>
    <row r="186" spans="3:23" s="37" customFormat="1" ht="12" x14ac:dyDescent="0.2">
      <c r="C186" s="3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41"/>
      <c r="S186" s="40"/>
      <c r="T186" s="41"/>
      <c r="U186" s="39"/>
      <c r="V186" s="39"/>
      <c r="W186" s="39"/>
    </row>
    <row r="187" spans="3:23" s="37" customFormat="1" ht="12" x14ac:dyDescent="0.2">
      <c r="C187" s="3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41"/>
      <c r="S187" s="40"/>
      <c r="T187" s="41"/>
      <c r="U187" s="39"/>
      <c r="V187" s="39"/>
      <c r="W187" s="39"/>
    </row>
    <row r="188" spans="3:23" s="37" customFormat="1" ht="12" x14ac:dyDescent="0.2">
      <c r="C188" s="3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41"/>
      <c r="S188" s="40"/>
      <c r="T188" s="41"/>
      <c r="U188" s="39"/>
      <c r="V188" s="39"/>
      <c r="W188" s="39"/>
    </row>
    <row r="189" spans="3:23" s="37" customFormat="1" ht="12" x14ac:dyDescent="0.2">
      <c r="C189" s="3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1"/>
      <c r="S189" s="40"/>
      <c r="T189" s="41"/>
      <c r="U189" s="39"/>
      <c r="V189" s="39"/>
      <c r="W189" s="39"/>
    </row>
    <row r="190" spans="3:23" s="37" customFormat="1" ht="12" x14ac:dyDescent="0.2">
      <c r="C190" s="3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1"/>
      <c r="S190" s="40"/>
      <c r="T190" s="41"/>
      <c r="U190" s="39"/>
      <c r="V190" s="39"/>
      <c r="W190" s="39"/>
    </row>
    <row r="191" spans="3:23" s="37" customFormat="1" ht="12" x14ac:dyDescent="0.2">
      <c r="C191" s="3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1"/>
      <c r="S191" s="40"/>
      <c r="T191" s="41"/>
      <c r="U191" s="39"/>
      <c r="V191" s="39"/>
      <c r="W191" s="39"/>
    </row>
    <row r="192" spans="3:23" s="37" customFormat="1" ht="12" x14ac:dyDescent="0.2">
      <c r="C192" s="3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1"/>
      <c r="S192" s="40"/>
      <c r="T192" s="41"/>
      <c r="U192" s="39"/>
      <c r="V192" s="39"/>
      <c r="W192" s="39"/>
    </row>
    <row r="193" spans="3:23" s="37" customFormat="1" ht="12" x14ac:dyDescent="0.2">
      <c r="C193" s="3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41"/>
      <c r="S193" s="40"/>
      <c r="T193" s="41"/>
      <c r="U193" s="39"/>
      <c r="V193" s="39"/>
      <c r="W193" s="39"/>
    </row>
    <row r="194" spans="3:23" s="37" customFormat="1" ht="12" x14ac:dyDescent="0.2">
      <c r="C194" s="3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/>
      <c r="S194" s="40"/>
      <c r="T194" s="41"/>
      <c r="U194" s="39"/>
      <c r="V194" s="39"/>
      <c r="W194" s="39"/>
    </row>
    <row r="195" spans="3:23" s="37" customFormat="1" ht="12" x14ac:dyDescent="0.2">
      <c r="C195" s="3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/>
      <c r="S195" s="40"/>
      <c r="T195" s="41"/>
      <c r="U195" s="39"/>
      <c r="V195" s="39"/>
      <c r="W195" s="39"/>
    </row>
    <row r="196" spans="3:23" s="37" customFormat="1" ht="12" x14ac:dyDescent="0.2">
      <c r="C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/>
      <c r="S196" s="40"/>
      <c r="T196" s="41"/>
      <c r="U196" s="39"/>
      <c r="V196" s="39"/>
      <c r="W196" s="39"/>
    </row>
    <row r="197" spans="3:23" s="37" customFormat="1" ht="12" x14ac:dyDescent="0.2">
      <c r="C197" s="3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41"/>
      <c r="S197" s="40"/>
      <c r="T197" s="41"/>
      <c r="U197" s="39"/>
      <c r="V197" s="39"/>
      <c r="W197" s="39"/>
    </row>
    <row r="198" spans="3:23" s="37" customFormat="1" ht="12" x14ac:dyDescent="0.2">
      <c r="C198" s="3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41"/>
      <c r="S198" s="40"/>
      <c r="T198" s="41"/>
      <c r="U198" s="39"/>
      <c r="V198" s="39"/>
      <c r="W198" s="39"/>
    </row>
    <row r="199" spans="3:23" s="37" customFormat="1" ht="12" x14ac:dyDescent="0.2">
      <c r="C199" s="3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41"/>
      <c r="S199" s="40"/>
      <c r="T199" s="41"/>
      <c r="U199" s="39"/>
      <c r="V199" s="39"/>
      <c r="W199" s="39"/>
    </row>
    <row r="200" spans="3:23" s="37" customFormat="1" ht="12" x14ac:dyDescent="0.2">
      <c r="C200" s="3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/>
      <c r="S200" s="40"/>
      <c r="T200" s="41"/>
      <c r="U200" s="39"/>
      <c r="V200" s="39"/>
      <c r="W200" s="39"/>
    </row>
    <row r="201" spans="3:23" s="37" customFormat="1" ht="12" x14ac:dyDescent="0.2">
      <c r="C201" s="3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/>
      <c r="S201" s="40"/>
      <c r="T201" s="41"/>
      <c r="U201" s="39"/>
      <c r="V201" s="39"/>
      <c r="W201" s="39"/>
    </row>
    <row r="202" spans="3:23" s="37" customFormat="1" ht="12" x14ac:dyDescent="0.2">
      <c r="C202" s="3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/>
      <c r="S202" s="40"/>
      <c r="T202" s="41"/>
      <c r="U202" s="39"/>
      <c r="V202" s="39"/>
      <c r="W202" s="39"/>
    </row>
    <row r="203" spans="3:23" s="37" customFormat="1" ht="12" x14ac:dyDescent="0.2">
      <c r="C203" s="3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41"/>
      <c r="S203" s="40"/>
      <c r="T203" s="41"/>
      <c r="U203" s="39"/>
      <c r="V203" s="39"/>
      <c r="W203" s="39"/>
    </row>
    <row r="204" spans="3:23" s="37" customFormat="1" ht="12" x14ac:dyDescent="0.2">
      <c r="C204" s="3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41"/>
      <c r="S204" s="40"/>
      <c r="T204" s="41"/>
      <c r="U204" s="39"/>
      <c r="V204" s="39"/>
      <c r="W204" s="39"/>
    </row>
    <row r="205" spans="3:23" s="37" customFormat="1" ht="12" x14ac:dyDescent="0.2">
      <c r="C205" s="3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1"/>
      <c r="S205" s="40"/>
      <c r="T205" s="41"/>
      <c r="U205" s="39"/>
      <c r="V205" s="39"/>
      <c r="W205" s="39"/>
    </row>
    <row r="206" spans="3:23" s="37" customFormat="1" ht="12" x14ac:dyDescent="0.2">
      <c r="C206" s="3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41"/>
      <c r="S206" s="40"/>
      <c r="T206" s="41"/>
      <c r="U206" s="39"/>
      <c r="V206" s="39"/>
      <c r="W206" s="39"/>
    </row>
    <row r="207" spans="3:23" s="37" customFormat="1" ht="12" x14ac:dyDescent="0.2">
      <c r="C207" s="3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41"/>
      <c r="S207" s="40"/>
      <c r="T207" s="41"/>
      <c r="U207" s="39"/>
      <c r="V207" s="39"/>
      <c r="W207" s="39"/>
    </row>
    <row r="208" spans="3:23" s="37" customFormat="1" ht="12" x14ac:dyDescent="0.2">
      <c r="C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41"/>
      <c r="S208" s="40"/>
      <c r="T208" s="41"/>
      <c r="U208" s="39"/>
      <c r="V208" s="39"/>
      <c r="W208" s="39"/>
    </row>
    <row r="209" spans="3:23" s="37" customFormat="1" ht="12" x14ac:dyDescent="0.2">
      <c r="C209" s="3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41"/>
      <c r="S209" s="40"/>
      <c r="T209" s="41"/>
      <c r="U209" s="39"/>
      <c r="V209" s="39"/>
      <c r="W209" s="39"/>
    </row>
    <row r="210" spans="3:23" s="37" customFormat="1" ht="12" x14ac:dyDescent="0.2">
      <c r="C210" s="3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41"/>
      <c r="S210" s="40"/>
      <c r="T210" s="41"/>
      <c r="U210" s="39"/>
      <c r="V210" s="39"/>
      <c r="W210" s="39"/>
    </row>
    <row r="211" spans="3:23" s="37" customFormat="1" ht="12" x14ac:dyDescent="0.2">
      <c r="C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41"/>
      <c r="S211" s="40"/>
      <c r="T211" s="41"/>
      <c r="U211" s="39"/>
      <c r="V211" s="39"/>
      <c r="W211" s="39"/>
    </row>
    <row r="212" spans="3:23" s="37" customFormat="1" ht="12" x14ac:dyDescent="0.2">
      <c r="C212" s="3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41"/>
      <c r="S212" s="40"/>
      <c r="T212" s="41"/>
      <c r="U212" s="39"/>
      <c r="V212" s="39"/>
      <c r="W212" s="39"/>
    </row>
    <row r="213" spans="3:23" s="37" customFormat="1" ht="12" x14ac:dyDescent="0.2">
      <c r="C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41"/>
      <c r="S213" s="40"/>
      <c r="T213" s="41"/>
      <c r="U213" s="39"/>
      <c r="V213" s="39"/>
      <c r="W213" s="39"/>
    </row>
    <row r="214" spans="3:23" s="37" customFormat="1" ht="12" x14ac:dyDescent="0.2">
      <c r="C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1"/>
      <c r="S214" s="40"/>
      <c r="T214" s="41"/>
      <c r="U214" s="39"/>
      <c r="V214" s="39"/>
      <c r="W214" s="39"/>
    </row>
    <row r="215" spans="3:23" s="37" customFormat="1" ht="12" x14ac:dyDescent="0.2">
      <c r="C215" s="3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41"/>
      <c r="S215" s="40"/>
      <c r="T215" s="41"/>
      <c r="U215" s="39"/>
      <c r="V215" s="39"/>
      <c r="W215" s="39"/>
    </row>
    <row r="216" spans="3:23" s="37" customFormat="1" ht="12" x14ac:dyDescent="0.2">
      <c r="C216" s="3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41"/>
      <c r="S216" s="40"/>
      <c r="T216" s="41"/>
      <c r="U216" s="39"/>
      <c r="V216" s="39"/>
      <c r="W216" s="39"/>
    </row>
    <row r="217" spans="3:23" s="37" customFormat="1" ht="12" x14ac:dyDescent="0.2">
      <c r="C217" s="3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41"/>
      <c r="S217" s="40"/>
      <c r="T217" s="41"/>
      <c r="U217" s="39"/>
      <c r="V217" s="39"/>
      <c r="W217" s="39"/>
    </row>
    <row r="218" spans="3:23" s="37" customFormat="1" ht="12" x14ac:dyDescent="0.2">
      <c r="C218" s="3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41"/>
      <c r="S218" s="40"/>
      <c r="T218" s="41"/>
      <c r="U218" s="39"/>
      <c r="V218" s="39"/>
      <c r="W218" s="39"/>
    </row>
    <row r="219" spans="3:23" s="37" customFormat="1" ht="12" x14ac:dyDescent="0.2">
      <c r="C219" s="3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41"/>
      <c r="S219" s="40"/>
      <c r="T219" s="41"/>
      <c r="U219" s="39"/>
      <c r="V219" s="39"/>
      <c r="W219" s="39"/>
    </row>
    <row r="220" spans="3:23" s="37" customFormat="1" ht="12" x14ac:dyDescent="0.2">
      <c r="C220" s="3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1"/>
      <c r="S220" s="40"/>
      <c r="T220" s="41"/>
      <c r="U220" s="39"/>
      <c r="V220" s="39"/>
      <c r="W220" s="39"/>
    </row>
    <row r="221" spans="3:23" s="37" customFormat="1" ht="12" x14ac:dyDescent="0.2">
      <c r="C221" s="3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1"/>
      <c r="S221" s="40"/>
      <c r="T221" s="41"/>
      <c r="U221" s="39"/>
      <c r="V221" s="39"/>
      <c r="W221" s="39"/>
    </row>
    <row r="222" spans="3:23" s="37" customFormat="1" ht="12" x14ac:dyDescent="0.2">
      <c r="C222" s="3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41"/>
      <c r="S222" s="40"/>
      <c r="T222" s="41"/>
      <c r="U222" s="39"/>
      <c r="V222" s="39"/>
      <c r="W222" s="39"/>
    </row>
    <row r="223" spans="3:23" s="37" customFormat="1" ht="12" x14ac:dyDescent="0.2">
      <c r="C223" s="3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41"/>
      <c r="S223" s="40"/>
      <c r="T223" s="41"/>
      <c r="U223" s="39"/>
      <c r="V223" s="39"/>
      <c r="W223" s="39"/>
    </row>
    <row r="224" spans="3:23" s="37" customFormat="1" ht="12" x14ac:dyDescent="0.2">
      <c r="C224" s="3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41"/>
      <c r="S224" s="40"/>
      <c r="T224" s="41"/>
      <c r="U224" s="39"/>
      <c r="V224" s="39"/>
      <c r="W224" s="39"/>
    </row>
    <row r="225" spans="3:23" s="37" customFormat="1" ht="12" x14ac:dyDescent="0.2">
      <c r="C225" s="3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41"/>
      <c r="S225" s="40"/>
      <c r="T225" s="41"/>
      <c r="U225" s="39"/>
      <c r="V225" s="39"/>
      <c r="W225" s="39"/>
    </row>
    <row r="226" spans="3:23" s="37" customFormat="1" ht="12" x14ac:dyDescent="0.2">
      <c r="C226" s="3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41"/>
      <c r="S226" s="40"/>
      <c r="T226" s="41"/>
      <c r="U226" s="39"/>
      <c r="V226" s="39"/>
      <c r="W226" s="39"/>
    </row>
    <row r="227" spans="3:23" s="37" customFormat="1" ht="12" x14ac:dyDescent="0.2">
      <c r="C227" s="3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41"/>
      <c r="S227" s="40"/>
      <c r="T227" s="41"/>
      <c r="U227" s="39"/>
      <c r="V227" s="39"/>
      <c r="W227" s="39"/>
    </row>
    <row r="228" spans="3:23" s="37" customFormat="1" ht="12" x14ac:dyDescent="0.2">
      <c r="C228" s="3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41"/>
      <c r="S228" s="40"/>
      <c r="T228" s="41"/>
      <c r="U228" s="39"/>
      <c r="V228" s="39"/>
      <c r="W228" s="39"/>
    </row>
    <row r="229" spans="3:23" s="37" customFormat="1" ht="12" x14ac:dyDescent="0.2">
      <c r="C229" s="3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41"/>
      <c r="S229" s="40"/>
      <c r="T229" s="41"/>
      <c r="U229" s="39"/>
      <c r="V229" s="39"/>
      <c r="W229" s="39"/>
    </row>
    <row r="230" spans="3:23" s="37" customFormat="1" ht="12" x14ac:dyDescent="0.2">
      <c r="C230" s="3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41"/>
      <c r="S230" s="40"/>
      <c r="T230" s="41"/>
      <c r="U230" s="39"/>
      <c r="V230" s="39"/>
      <c r="W230" s="39"/>
    </row>
    <row r="231" spans="3:23" s="37" customFormat="1" ht="12" x14ac:dyDescent="0.2">
      <c r="C231" s="3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41"/>
      <c r="S231" s="40"/>
      <c r="T231" s="41"/>
      <c r="U231" s="39"/>
      <c r="V231" s="39"/>
      <c r="W231" s="39"/>
    </row>
    <row r="232" spans="3:23" s="37" customFormat="1" ht="12" x14ac:dyDescent="0.2">
      <c r="C232" s="3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1"/>
      <c r="S232" s="40"/>
      <c r="T232" s="41"/>
      <c r="U232" s="39"/>
      <c r="V232" s="39"/>
      <c r="W232" s="39"/>
    </row>
    <row r="233" spans="3:23" s="37" customFormat="1" ht="12" x14ac:dyDescent="0.2">
      <c r="C233" s="3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41"/>
      <c r="S233" s="40"/>
      <c r="T233" s="41"/>
      <c r="U233" s="39"/>
      <c r="V233" s="39"/>
      <c r="W233" s="39"/>
    </row>
    <row r="234" spans="3:23" s="37" customFormat="1" ht="12" x14ac:dyDescent="0.2">
      <c r="C234" s="3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41"/>
      <c r="S234" s="40"/>
      <c r="T234" s="41"/>
      <c r="U234" s="39"/>
      <c r="V234" s="39"/>
      <c r="W234" s="39"/>
    </row>
    <row r="235" spans="3:23" s="37" customFormat="1" ht="12" x14ac:dyDescent="0.2">
      <c r="C235" s="3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41"/>
      <c r="S235" s="40"/>
      <c r="T235" s="41"/>
      <c r="U235" s="39"/>
      <c r="V235" s="39"/>
      <c r="W235" s="39"/>
    </row>
    <row r="236" spans="3:23" s="37" customFormat="1" ht="12" x14ac:dyDescent="0.2">
      <c r="C236" s="3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41"/>
      <c r="S236" s="40"/>
      <c r="T236" s="41"/>
      <c r="U236" s="39"/>
      <c r="V236" s="39"/>
      <c r="W236" s="39"/>
    </row>
    <row r="237" spans="3:23" s="37" customFormat="1" ht="12" x14ac:dyDescent="0.2">
      <c r="C237" s="3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41"/>
      <c r="S237" s="40"/>
      <c r="T237" s="41"/>
      <c r="U237" s="39"/>
      <c r="V237" s="39"/>
      <c r="W237" s="39"/>
    </row>
    <row r="238" spans="3:23" s="37" customFormat="1" ht="12" x14ac:dyDescent="0.2">
      <c r="C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41"/>
      <c r="S238" s="40"/>
      <c r="T238" s="41"/>
      <c r="U238" s="39"/>
      <c r="V238" s="39"/>
      <c r="W238" s="39"/>
    </row>
    <row r="239" spans="3:23" s="37" customFormat="1" ht="12" x14ac:dyDescent="0.2">
      <c r="C239" s="3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41"/>
      <c r="S239" s="40"/>
      <c r="T239" s="41"/>
      <c r="U239" s="39"/>
      <c r="V239" s="39"/>
      <c r="W239" s="39"/>
    </row>
    <row r="240" spans="3:23" s="37" customFormat="1" ht="12" x14ac:dyDescent="0.2">
      <c r="C240" s="3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41"/>
      <c r="S240" s="40"/>
      <c r="T240" s="41"/>
      <c r="U240" s="39"/>
      <c r="V240" s="39"/>
      <c r="W240" s="39"/>
    </row>
    <row r="241" spans="3:23" s="37" customFormat="1" ht="12" x14ac:dyDescent="0.2">
      <c r="C241" s="3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41"/>
      <c r="S241" s="40"/>
      <c r="T241" s="41"/>
      <c r="U241" s="39"/>
      <c r="V241" s="39"/>
      <c r="W241" s="39"/>
    </row>
    <row r="242" spans="3:23" s="37" customFormat="1" ht="12" x14ac:dyDescent="0.2">
      <c r="C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41"/>
      <c r="S242" s="40"/>
      <c r="T242" s="41"/>
      <c r="U242" s="39"/>
      <c r="V242" s="39"/>
      <c r="W242" s="39"/>
    </row>
    <row r="243" spans="3:23" s="37" customFormat="1" ht="12" x14ac:dyDescent="0.2">
      <c r="C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41"/>
      <c r="S243" s="40"/>
      <c r="T243" s="41"/>
      <c r="U243" s="39"/>
      <c r="V243" s="39"/>
      <c r="W243" s="39"/>
    </row>
    <row r="244" spans="3:23" s="37" customFormat="1" ht="12" x14ac:dyDescent="0.2">
      <c r="C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41"/>
      <c r="S244" s="40"/>
      <c r="T244" s="41"/>
      <c r="U244" s="39"/>
      <c r="V244" s="39"/>
      <c r="W244" s="39"/>
    </row>
    <row r="245" spans="3:23" s="37" customFormat="1" ht="12" x14ac:dyDescent="0.2">
      <c r="C245" s="3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41"/>
      <c r="S245" s="40"/>
      <c r="T245" s="41"/>
      <c r="U245" s="39"/>
      <c r="V245" s="39"/>
      <c r="W245" s="39"/>
    </row>
    <row r="246" spans="3:23" s="37" customFormat="1" ht="12" x14ac:dyDescent="0.2">
      <c r="C246" s="3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41"/>
      <c r="S246" s="40"/>
      <c r="T246" s="41"/>
      <c r="U246" s="39"/>
      <c r="V246" s="39"/>
      <c r="W246" s="39"/>
    </row>
    <row r="247" spans="3:23" s="37" customFormat="1" ht="12" x14ac:dyDescent="0.2">
      <c r="C247" s="3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41"/>
      <c r="S247" s="40"/>
      <c r="T247" s="41"/>
      <c r="U247" s="39"/>
      <c r="V247" s="39"/>
      <c r="W247" s="39"/>
    </row>
    <row r="248" spans="3:23" s="37" customFormat="1" ht="12" x14ac:dyDescent="0.2">
      <c r="C248" s="3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41"/>
      <c r="S248" s="40"/>
      <c r="T248" s="41"/>
      <c r="U248" s="39"/>
      <c r="V248" s="39"/>
      <c r="W248" s="39"/>
    </row>
    <row r="249" spans="3:23" s="37" customFormat="1" ht="12" x14ac:dyDescent="0.2">
      <c r="C249" s="3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41"/>
      <c r="S249" s="40"/>
      <c r="T249" s="41"/>
      <c r="U249" s="39"/>
      <c r="V249" s="39"/>
      <c r="W249" s="39"/>
    </row>
    <row r="250" spans="3:23" s="37" customFormat="1" ht="12" x14ac:dyDescent="0.2">
      <c r="C250" s="3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41"/>
      <c r="S250" s="40"/>
      <c r="T250" s="41"/>
      <c r="U250" s="39"/>
      <c r="V250" s="39"/>
      <c r="W250" s="39"/>
    </row>
    <row r="251" spans="3:23" s="37" customFormat="1" ht="12" x14ac:dyDescent="0.2">
      <c r="C251" s="3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41"/>
      <c r="S251" s="40"/>
      <c r="T251" s="41"/>
      <c r="U251" s="39"/>
      <c r="V251" s="39"/>
      <c r="W251" s="39"/>
    </row>
    <row r="252" spans="3:23" s="37" customFormat="1" ht="12" x14ac:dyDescent="0.2">
      <c r="C252" s="3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41"/>
      <c r="S252" s="40"/>
      <c r="T252" s="41"/>
      <c r="U252" s="39"/>
      <c r="V252" s="39"/>
      <c r="W252" s="39"/>
    </row>
    <row r="253" spans="3:23" s="37" customFormat="1" ht="12" x14ac:dyDescent="0.2">
      <c r="C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1"/>
      <c r="S253" s="40"/>
      <c r="T253" s="41"/>
      <c r="U253" s="39"/>
      <c r="V253" s="39"/>
      <c r="W253" s="39"/>
    </row>
    <row r="254" spans="3:23" s="37" customFormat="1" ht="12" x14ac:dyDescent="0.2">
      <c r="C254" s="3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41"/>
      <c r="S254" s="40"/>
      <c r="T254" s="41"/>
      <c r="U254" s="39"/>
      <c r="V254" s="39"/>
      <c r="W254" s="39"/>
    </row>
    <row r="255" spans="3:23" s="37" customFormat="1" ht="12" x14ac:dyDescent="0.2">
      <c r="C255" s="3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1"/>
      <c r="S255" s="40"/>
      <c r="T255" s="41"/>
      <c r="U255" s="39"/>
      <c r="V255" s="39"/>
      <c r="W255" s="39"/>
    </row>
    <row r="256" spans="3:23" s="37" customFormat="1" ht="12" x14ac:dyDescent="0.2">
      <c r="C256" s="3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41"/>
      <c r="S256" s="40"/>
      <c r="T256" s="41"/>
      <c r="U256" s="39"/>
      <c r="V256" s="39"/>
      <c r="W256" s="39"/>
    </row>
    <row r="257" spans="3:23" s="37" customFormat="1" ht="12" x14ac:dyDescent="0.2">
      <c r="C257" s="3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41"/>
      <c r="S257" s="40"/>
      <c r="T257" s="41"/>
      <c r="U257" s="39"/>
      <c r="V257" s="39"/>
      <c r="W257" s="39"/>
    </row>
    <row r="258" spans="3:23" s="37" customFormat="1" ht="12" x14ac:dyDescent="0.2">
      <c r="C258" s="3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41"/>
      <c r="S258" s="40"/>
      <c r="T258" s="41"/>
      <c r="U258" s="39"/>
      <c r="V258" s="39"/>
      <c r="W258" s="39"/>
    </row>
    <row r="259" spans="3:23" s="37" customFormat="1" ht="12" x14ac:dyDescent="0.2">
      <c r="C259" s="3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41"/>
      <c r="S259" s="40"/>
      <c r="T259" s="41"/>
      <c r="U259" s="39"/>
      <c r="V259" s="39"/>
      <c r="W259" s="39"/>
    </row>
    <row r="260" spans="3:23" s="37" customFormat="1" ht="12" x14ac:dyDescent="0.2">
      <c r="C260" s="3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1"/>
      <c r="S260" s="40"/>
      <c r="T260" s="41"/>
      <c r="U260" s="39"/>
      <c r="V260" s="39"/>
      <c r="W260" s="39"/>
    </row>
    <row r="261" spans="3:23" s="37" customFormat="1" ht="12" x14ac:dyDescent="0.2">
      <c r="C261" s="3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1"/>
      <c r="S261" s="40"/>
      <c r="T261" s="41"/>
      <c r="U261" s="39"/>
      <c r="V261" s="39"/>
      <c r="W261" s="39"/>
    </row>
    <row r="262" spans="3:23" s="37" customFormat="1" ht="12" x14ac:dyDescent="0.2">
      <c r="C262" s="3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41"/>
      <c r="S262" s="40"/>
      <c r="T262" s="41"/>
      <c r="U262" s="39"/>
      <c r="V262" s="39"/>
      <c r="W262" s="39"/>
    </row>
    <row r="263" spans="3:23" s="37" customFormat="1" ht="12" x14ac:dyDescent="0.2">
      <c r="C263" s="3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41"/>
      <c r="S263" s="40"/>
      <c r="T263" s="41"/>
      <c r="U263" s="39"/>
      <c r="V263" s="39"/>
      <c r="W263" s="39"/>
    </row>
    <row r="264" spans="3:23" s="37" customFormat="1" ht="12" x14ac:dyDescent="0.2">
      <c r="C264" s="3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41"/>
      <c r="S264" s="40"/>
      <c r="T264" s="41"/>
      <c r="U264" s="39"/>
      <c r="V264" s="39"/>
      <c r="W264" s="39"/>
    </row>
    <row r="265" spans="3:23" s="37" customFormat="1" ht="12" x14ac:dyDescent="0.2">
      <c r="C265" s="3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41"/>
      <c r="S265" s="40"/>
      <c r="T265" s="41"/>
      <c r="U265" s="39"/>
      <c r="V265" s="39"/>
      <c r="W265" s="39"/>
    </row>
    <row r="266" spans="3:23" s="37" customFormat="1" ht="12" x14ac:dyDescent="0.2">
      <c r="C266" s="3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41"/>
      <c r="S266" s="40"/>
      <c r="T266" s="41"/>
      <c r="U266" s="39"/>
      <c r="V266" s="39"/>
      <c r="W266" s="39"/>
    </row>
    <row r="267" spans="3:23" s="37" customFormat="1" ht="12" x14ac:dyDescent="0.2">
      <c r="C267" s="3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41"/>
      <c r="S267" s="40"/>
      <c r="T267" s="41"/>
      <c r="U267" s="39"/>
      <c r="V267" s="39"/>
      <c r="W267" s="39"/>
    </row>
    <row r="268" spans="3:23" s="37" customFormat="1" ht="12" x14ac:dyDescent="0.2">
      <c r="C268" s="3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41"/>
      <c r="S268" s="40"/>
      <c r="T268" s="41"/>
      <c r="U268" s="39"/>
      <c r="V268" s="39"/>
      <c r="W268" s="39"/>
    </row>
    <row r="269" spans="3:23" s="37" customFormat="1" ht="12" x14ac:dyDescent="0.2">
      <c r="C269" s="3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41"/>
      <c r="S269" s="40"/>
      <c r="T269" s="41"/>
      <c r="U269" s="39"/>
      <c r="V269" s="39"/>
      <c r="W269" s="39"/>
    </row>
    <row r="270" spans="3:23" s="37" customFormat="1" ht="12" x14ac:dyDescent="0.2">
      <c r="C270" s="3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41"/>
      <c r="S270" s="40"/>
      <c r="T270" s="41"/>
      <c r="U270" s="39"/>
      <c r="V270" s="39"/>
      <c r="W270" s="39"/>
    </row>
    <row r="271" spans="3:23" s="37" customFormat="1" ht="12" x14ac:dyDescent="0.2">
      <c r="C271" s="3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41"/>
      <c r="S271" s="40"/>
      <c r="T271" s="41"/>
      <c r="U271" s="39"/>
      <c r="V271" s="39"/>
      <c r="W271" s="39"/>
    </row>
    <row r="272" spans="3:23" s="37" customFormat="1" ht="12" x14ac:dyDescent="0.2">
      <c r="C272" s="3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1"/>
      <c r="S272" s="40"/>
      <c r="T272" s="41"/>
      <c r="U272" s="39"/>
      <c r="V272" s="39"/>
      <c r="W272" s="39"/>
    </row>
    <row r="273" spans="3:23" s="37" customFormat="1" ht="12" x14ac:dyDescent="0.2">
      <c r="C273" s="3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41"/>
      <c r="S273" s="40"/>
      <c r="T273" s="41"/>
      <c r="U273" s="39"/>
      <c r="V273" s="39"/>
      <c r="W273" s="39"/>
    </row>
    <row r="274" spans="3:23" s="37" customFormat="1" ht="12" x14ac:dyDescent="0.2">
      <c r="C274" s="3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41"/>
      <c r="S274" s="40"/>
      <c r="T274" s="41"/>
      <c r="U274" s="39"/>
      <c r="V274" s="39"/>
      <c r="W274" s="39"/>
    </row>
    <row r="275" spans="3:23" s="37" customFormat="1" ht="12" x14ac:dyDescent="0.2">
      <c r="C275" s="3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41"/>
      <c r="S275" s="40"/>
      <c r="T275" s="41"/>
      <c r="U275" s="39"/>
      <c r="V275" s="39"/>
      <c r="W275" s="39"/>
    </row>
    <row r="276" spans="3:23" s="37" customFormat="1" ht="12" x14ac:dyDescent="0.2">
      <c r="C276" s="3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41"/>
      <c r="S276" s="40"/>
      <c r="T276" s="41"/>
      <c r="U276" s="39"/>
      <c r="V276" s="39"/>
      <c r="W276" s="39"/>
    </row>
    <row r="277" spans="3:23" x14ac:dyDescent="0.25"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27"/>
      <c r="S277" s="23"/>
      <c r="T277" s="27"/>
      <c r="U277" s="22"/>
      <c r="V277" s="22"/>
      <c r="W277" s="22"/>
    </row>
  </sheetData>
  <sheetProtection algorithmName="SHA-512" hashValue="BX//kFeiDedpMgS8VEu3mHq/iY0W04xh0iJ4QwEv8uHK+OJZMiQRz2pvZ0AMctkI+CdBfHyOQNk1BbLpBz/bvA==" saltValue="kumH4rXiH6tFiaMTSjlLqw==" spinCount="100000" sheet="1" objects="1" scenarios="1" select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Budget</vt:lpstr>
      <vt:lpstr>Summary</vt:lpstr>
      <vt:lpstr>MYP</vt:lpstr>
      <vt:lpstr>Function-Grant</vt:lpstr>
      <vt:lpstr>FY21</vt:lpstr>
      <vt:lpstr>FY22</vt:lpstr>
      <vt:lpstr>FY23</vt:lpstr>
      <vt:lpstr>FY24</vt:lpstr>
      <vt:lpstr>FY25</vt:lpstr>
      <vt:lpstr>Instruction</vt:lpstr>
      <vt:lpstr>Rev &amp; Enroll</vt:lpstr>
      <vt:lpstr>Payroll</vt:lpstr>
      <vt:lpstr>Exp Details</vt:lpstr>
      <vt:lpstr>Request for Change</vt:lpstr>
      <vt:lpstr>Programs List</vt:lpstr>
      <vt:lpstr>Original Budget</vt:lpstr>
      <vt:lpstr>Revised Budget</vt:lpstr>
      <vt:lpstr>Sheet2</vt:lpstr>
      <vt:lpstr>Import</vt:lpstr>
      <vt:lpstr>Budget!Print_Area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Styles</dc:creator>
  <cp:lastModifiedBy>John D. Hawk</cp:lastModifiedBy>
  <cp:lastPrinted>2020-04-10T19:56:37Z</cp:lastPrinted>
  <dcterms:created xsi:type="dcterms:W3CDTF">2019-09-05T22:17:09Z</dcterms:created>
  <dcterms:modified xsi:type="dcterms:W3CDTF">2020-04-15T22:58:07Z</dcterms:modified>
</cp:coreProperties>
</file>