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000 - Authority Board - Archive - DO NOT USE\Authority Board\May 29, 2020\"/>
    </mc:Choice>
  </mc:AlternateContent>
  <xr:revisionPtr revIDLastSave="0" documentId="8_{B7971165-D3B8-4EB3-8F64-C5266A1ABCE4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CF Y1 Mo" sheetId="3" r:id="rId1"/>
    <sheet name="CIVICA BUDGET V. WORKBOOK COMP" sheetId="2" r:id="rId2"/>
    <sheet name="Cash Flow - ref. A21" sheetId="4" r:id="rId3"/>
  </sheets>
  <externalReferences>
    <externalReference r:id="rId4"/>
  </externalReferences>
  <definedNames>
    <definedName name="HypLink1">#REF!</definedName>
    <definedName name="HypLink14">#REF!</definedName>
    <definedName name="HypLink16">#REF!</definedName>
    <definedName name="HypLink5">'CF Y1 Mo'!$A$1</definedName>
    <definedName name="_xlnm.Print_Area" localSheetId="0">'CF Y1 Mo'!$A$1:$P$139</definedName>
    <definedName name="_xlnm.Print_Area" localSheetId="1">'CIVICA BUDGET V. WORKBOOK COMP'!$A$1:$B$169</definedName>
    <definedName name="_xlnm.Print_Titles" localSheetId="0">'CF Y1 Mo'!$7:$12</definedName>
    <definedName name="SchoolName">[1]Cover!$C$8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4" l="1"/>
  <c r="J26" i="4" s="1"/>
  <c r="M26" i="4" s="1"/>
  <c r="P26" i="4" s="1"/>
  <c r="F24" i="4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F18" i="4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E31" i="4"/>
  <c r="E32" i="4" s="1"/>
  <c r="Q26" i="4" l="1"/>
  <c r="E11" i="4" l="1"/>
  <c r="E35" i="4" s="1"/>
  <c r="E36" i="4" s="1"/>
  <c r="Q18" i="4"/>
  <c r="Q24" i="4"/>
  <c r="Q30" i="4"/>
  <c r="B175" i="4"/>
  <c r="B173" i="4"/>
  <c r="B168" i="4"/>
  <c r="A168" i="4"/>
  <c r="B153" i="4"/>
  <c r="F28" i="4" s="1"/>
  <c r="B150" i="4"/>
  <c r="B148" i="4"/>
  <c r="F19" i="4" s="1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B147" i="4"/>
  <c r="B144" i="4"/>
  <c r="B113" i="4"/>
  <c r="B104" i="4"/>
  <c r="B95" i="4"/>
  <c r="B94" i="4"/>
  <c r="B93" i="4"/>
  <c r="B92" i="4"/>
  <c r="B91" i="4"/>
  <c r="B86" i="4"/>
  <c r="B85" i="4"/>
  <c r="B84" i="4"/>
  <c r="B80" i="4"/>
  <c r="B79" i="4"/>
  <c r="B72" i="4"/>
  <c r="B78" i="4" s="1"/>
  <c r="B57" i="4"/>
  <c r="B60" i="4" s="1"/>
  <c r="B37" i="4"/>
  <c r="B25" i="4"/>
  <c r="B35" i="4" s="1"/>
  <c r="B90" i="4" s="1"/>
  <c r="B24" i="4"/>
  <c r="B18" i="4"/>
  <c r="B16" i="4"/>
  <c r="B119" i="4" s="1"/>
  <c r="B3" i="4"/>
  <c r="B2" i="4"/>
  <c r="H9" i="4" l="1"/>
  <c r="I9" i="4" s="1"/>
  <c r="J9" i="4" s="1"/>
  <c r="K9" i="4" s="1"/>
  <c r="L9" i="4" s="1"/>
  <c r="M9" i="4" s="1"/>
  <c r="N9" i="4" s="1"/>
  <c r="E12" i="4"/>
  <c r="G28" i="4"/>
  <c r="H28" i="4" s="1"/>
  <c r="I28" i="4" s="1"/>
  <c r="J28" i="4" s="1"/>
  <c r="K28" i="4" s="1"/>
  <c r="L28" i="4" s="1"/>
  <c r="M28" i="4" s="1"/>
  <c r="N28" i="4" s="1"/>
  <c r="O28" i="4" s="1"/>
  <c r="P28" i="4" s="1"/>
  <c r="B176" i="4"/>
  <c r="Q19" i="4"/>
  <c r="O9" i="4"/>
  <c r="P9" i="4" s="1"/>
  <c r="Q9" i="4"/>
  <c r="M7" i="4"/>
  <c r="B125" i="4"/>
  <c r="F20" i="4" s="1"/>
  <c r="B76" i="4"/>
  <c r="B136" i="4" s="1"/>
  <c r="F7" i="4" s="1"/>
  <c r="G7" i="4" s="1"/>
  <c r="H7" i="4" s="1"/>
  <c r="I7" i="4" s="1"/>
  <c r="J7" i="4" s="1"/>
  <c r="K7" i="4" s="1"/>
  <c r="L7" i="4" s="1"/>
  <c r="B131" i="4"/>
  <c r="B116" i="4"/>
  <c r="B151" i="4"/>
  <c r="F23" i="4" s="1"/>
  <c r="B118" i="4"/>
  <c r="B138" i="4"/>
  <c r="B96" i="4"/>
  <c r="B106" i="4" s="1"/>
  <c r="F15" i="4" s="1"/>
  <c r="B70" i="4"/>
  <c r="F6" i="4" s="1"/>
  <c r="B111" i="4"/>
  <c r="F21" i="4" s="1"/>
  <c r="B19" i="4"/>
  <c r="B120" i="4" s="1"/>
  <c r="B59" i="4"/>
  <c r="B61" i="4" s="1"/>
  <c r="B71" i="4"/>
  <c r="B123" i="4"/>
  <c r="F25" i="4" s="1"/>
  <c r="B127" i="4"/>
  <c r="B114" i="4"/>
  <c r="B117" i="4"/>
  <c r="F114" i="2"/>
  <c r="G114" i="2" s="1"/>
  <c r="G113" i="2"/>
  <c r="G118" i="2"/>
  <c r="G119" i="2"/>
  <c r="G120" i="2"/>
  <c r="G121" i="2"/>
  <c r="G127" i="2"/>
  <c r="G128" i="2"/>
  <c r="G129" i="2"/>
  <c r="G134" i="2"/>
  <c r="G136" i="2"/>
  <c r="F147" i="2"/>
  <c r="F130" i="2"/>
  <c r="G130" i="2" s="1"/>
  <c r="E136" i="2"/>
  <c r="E135" i="2"/>
  <c r="G135" i="2" s="1"/>
  <c r="E131" i="2"/>
  <c r="G131" i="2" s="1"/>
  <c r="E132" i="2"/>
  <c r="G132" i="2" s="1"/>
  <c r="E133" i="2"/>
  <c r="G133" i="2" s="1"/>
  <c r="E134" i="2"/>
  <c r="E130" i="2"/>
  <c r="E129" i="2"/>
  <c r="E127" i="2"/>
  <c r="E128" i="2"/>
  <c r="E126" i="2"/>
  <c r="G126" i="2" s="1"/>
  <c r="E125" i="2"/>
  <c r="G125" i="2" s="1"/>
  <c r="E124" i="2"/>
  <c r="G124" i="2" s="1"/>
  <c r="E123" i="2"/>
  <c r="G123" i="2" s="1"/>
  <c r="E117" i="2"/>
  <c r="G117" i="2" s="1"/>
  <c r="E118" i="2"/>
  <c r="E119" i="2"/>
  <c r="E120" i="2"/>
  <c r="E121" i="2"/>
  <c r="E122" i="2"/>
  <c r="G122" i="2" s="1"/>
  <c r="E116" i="2"/>
  <c r="G116" i="2" s="1"/>
  <c r="E115" i="2"/>
  <c r="G115" i="2" s="1"/>
  <c r="D114" i="2"/>
  <c r="E114" i="2"/>
  <c r="E113" i="2"/>
  <c r="D136" i="2"/>
  <c r="D135" i="2"/>
  <c r="D133" i="2"/>
  <c r="D134" i="2"/>
  <c r="D131" i="2"/>
  <c r="D132" i="2"/>
  <c r="D130" i="2"/>
  <c r="D129" i="2"/>
  <c r="D127" i="2"/>
  <c r="D128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3" i="2"/>
  <c r="G112" i="2"/>
  <c r="G137" i="2"/>
  <c r="G138" i="2"/>
  <c r="G143" i="2"/>
  <c r="G145" i="2"/>
  <c r="F107" i="2"/>
  <c r="F149" i="2" s="1"/>
  <c r="F151" i="2" s="1"/>
  <c r="G104" i="2"/>
  <c r="G102" i="2"/>
  <c r="E105" i="2"/>
  <c r="G105" i="2" s="1"/>
  <c r="E104" i="2"/>
  <c r="E103" i="2"/>
  <c r="G103" i="2" s="1"/>
  <c r="E102" i="2"/>
  <c r="E107" i="2" s="1"/>
  <c r="E112" i="2"/>
  <c r="E140" i="2"/>
  <c r="G140" i="2" s="1"/>
  <c r="E145" i="2"/>
  <c r="E144" i="2"/>
  <c r="G144" i="2" s="1"/>
  <c r="E142" i="2"/>
  <c r="G142" i="2" s="1"/>
  <c r="E141" i="2"/>
  <c r="G141" i="2" s="1"/>
  <c r="E143" i="2"/>
  <c r="E139" i="2"/>
  <c r="G139" i="2" s="1"/>
  <c r="E139" i="3"/>
  <c r="E138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E136" i="3"/>
  <c r="E67" i="3"/>
  <c r="D66" i="3"/>
  <c r="D65" i="3"/>
  <c r="D64" i="3"/>
  <c r="E55" i="3"/>
  <c r="E113" i="3" s="1"/>
  <c r="F54" i="3"/>
  <c r="B54" i="3"/>
  <c r="F53" i="3"/>
  <c r="G53" i="3" s="1"/>
  <c r="B53" i="3"/>
  <c r="D52" i="3"/>
  <c r="B52" i="3"/>
  <c r="D51" i="3"/>
  <c r="B51" i="3"/>
  <c r="F50" i="3"/>
  <c r="B50" i="3"/>
  <c r="F49" i="3"/>
  <c r="G49" i="3" s="1"/>
  <c r="H49" i="3" s="1"/>
  <c r="B49" i="3"/>
  <c r="F48" i="3"/>
  <c r="B48" i="3"/>
  <c r="F47" i="3"/>
  <c r="G47" i="3" s="1"/>
  <c r="H47" i="3" s="1"/>
  <c r="B47" i="3"/>
  <c r="F46" i="3"/>
  <c r="B46" i="3"/>
  <c r="D45" i="3"/>
  <c r="C45" i="3" s="1"/>
  <c r="B45" i="3"/>
  <c r="D44" i="3"/>
  <c r="B44" i="3"/>
  <c r="C44" i="3" s="1"/>
  <c r="D43" i="3"/>
  <c r="B43" i="3"/>
  <c r="C43" i="3" s="1"/>
  <c r="H42" i="3"/>
  <c r="I42" i="3" s="1"/>
  <c r="G42" i="3"/>
  <c r="B42" i="3"/>
  <c r="F41" i="3"/>
  <c r="B41" i="3"/>
  <c r="G40" i="3"/>
  <c r="H40" i="3" s="1"/>
  <c r="F40" i="3"/>
  <c r="B40" i="3"/>
  <c r="F39" i="3"/>
  <c r="B39" i="3"/>
  <c r="D38" i="3"/>
  <c r="B38" i="3"/>
  <c r="D37" i="3"/>
  <c r="C37" i="3"/>
  <c r="B37" i="3"/>
  <c r="F36" i="3"/>
  <c r="B36" i="3"/>
  <c r="F35" i="3"/>
  <c r="F139" i="3" s="1"/>
  <c r="B35" i="3"/>
  <c r="B30" i="3"/>
  <c r="D29" i="3"/>
  <c r="C29" i="3"/>
  <c r="B29" i="3"/>
  <c r="D28" i="3"/>
  <c r="B28" i="3"/>
  <c r="C28" i="3" s="1"/>
  <c r="D27" i="3"/>
  <c r="B27" i="3"/>
  <c r="D26" i="3"/>
  <c r="B26" i="3"/>
  <c r="D25" i="3"/>
  <c r="C25" i="3" s="1"/>
  <c r="B25" i="3"/>
  <c r="D24" i="3"/>
  <c r="B24" i="3"/>
  <c r="C24" i="3" s="1"/>
  <c r="D23" i="3"/>
  <c r="B23" i="3"/>
  <c r="C23" i="3" s="1"/>
  <c r="D22" i="3"/>
  <c r="B22" i="3"/>
  <c r="H21" i="3"/>
  <c r="B21" i="3"/>
  <c r="G20" i="3"/>
  <c r="H20" i="3" s="1"/>
  <c r="B20" i="3"/>
  <c r="D19" i="3"/>
  <c r="B19" i="3"/>
  <c r="D18" i="3"/>
  <c r="C18" i="3"/>
  <c r="B18" i="3"/>
  <c r="D17" i="3"/>
  <c r="B17" i="3"/>
  <c r="C17" i="3" s="1"/>
  <c r="D16" i="3"/>
  <c r="B16" i="3"/>
  <c r="E15" i="3"/>
  <c r="B15" i="3"/>
  <c r="G14" i="3"/>
  <c r="F14" i="3"/>
  <c r="B14" i="3"/>
  <c r="D8" i="3"/>
  <c r="D12" i="3" s="1"/>
  <c r="D7" i="3"/>
  <c r="A5" i="3"/>
  <c r="A2" i="3"/>
  <c r="E138" i="2"/>
  <c r="E137" i="2"/>
  <c r="E111" i="2"/>
  <c r="G111" i="2" s="1"/>
  <c r="E110" i="2"/>
  <c r="G110" i="2" s="1"/>
  <c r="E109" i="2"/>
  <c r="E147" i="2" s="1"/>
  <c r="A169" i="2"/>
  <c r="G107" i="2" l="1"/>
  <c r="G35" i="3"/>
  <c r="H35" i="3" s="1"/>
  <c r="E106" i="3"/>
  <c r="C125" i="2"/>
  <c r="G109" i="2"/>
  <c r="G147" i="2" s="1"/>
  <c r="G149" i="2" s="1"/>
  <c r="G151" i="2" s="1"/>
  <c r="E107" i="3"/>
  <c r="E109" i="3"/>
  <c r="B155" i="4"/>
  <c r="E57" i="3"/>
  <c r="E121" i="3"/>
  <c r="C16" i="3"/>
  <c r="C27" i="3"/>
  <c r="G15" i="4"/>
  <c r="F17" i="4"/>
  <c r="G17" i="4"/>
  <c r="H17" i="4" s="1"/>
  <c r="I17" i="4" s="1"/>
  <c r="J17" i="4" s="1"/>
  <c r="K17" i="4" s="1"/>
  <c r="L17" i="4" s="1"/>
  <c r="M17" i="4" s="1"/>
  <c r="N17" i="4" s="1"/>
  <c r="O17" i="4" s="1"/>
  <c r="P17" i="4" s="1"/>
  <c r="G20" i="4"/>
  <c r="H20" i="4" s="1"/>
  <c r="I20" i="4" s="1"/>
  <c r="J20" i="4" s="1"/>
  <c r="K20" i="4" s="1"/>
  <c r="L20" i="4" s="1"/>
  <c r="M20" i="4" s="1"/>
  <c r="N20" i="4" s="1"/>
  <c r="O20" i="4" s="1"/>
  <c r="P20" i="4" s="1"/>
  <c r="G25" i="4"/>
  <c r="H25" i="4" s="1"/>
  <c r="I25" i="4" s="1"/>
  <c r="J25" i="4" s="1"/>
  <c r="K25" i="4" s="1"/>
  <c r="L25" i="4" s="1"/>
  <c r="M25" i="4" s="1"/>
  <c r="N25" i="4" s="1"/>
  <c r="O25" i="4" s="1"/>
  <c r="P25" i="4" s="1"/>
  <c r="Q25" i="4"/>
  <c r="G21" i="4"/>
  <c r="H21" i="4" s="1"/>
  <c r="I21" i="4" s="1"/>
  <c r="J21" i="4" s="1"/>
  <c r="K21" i="4" s="1"/>
  <c r="L21" i="4" s="1"/>
  <c r="M21" i="4" s="1"/>
  <c r="N21" i="4" s="1"/>
  <c r="O21" i="4" s="1"/>
  <c r="P21" i="4" s="1"/>
  <c r="Q21" i="4"/>
  <c r="B77" i="4"/>
  <c r="B81" i="4" s="1"/>
  <c r="G8" i="4"/>
  <c r="F11" i="4"/>
  <c r="G6" i="4"/>
  <c r="G23" i="4"/>
  <c r="H23" i="4" s="1"/>
  <c r="I23" i="4" s="1"/>
  <c r="J23" i="4" s="1"/>
  <c r="K23" i="4" s="1"/>
  <c r="L23" i="4" s="1"/>
  <c r="M23" i="4" s="1"/>
  <c r="N23" i="4" s="1"/>
  <c r="O23" i="4" s="1"/>
  <c r="P23" i="4" s="1"/>
  <c r="Q28" i="4"/>
  <c r="N7" i="4"/>
  <c r="B137" i="4"/>
  <c r="F22" i="4" s="1"/>
  <c r="B108" i="4"/>
  <c r="B107" i="4"/>
  <c r="B65" i="4"/>
  <c r="B64" i="4"/>
  <c r="B128" i="4"/>
  <c r="F27" i="4" s="1"/>
  <c r="B141" i="4"/>
  <c r="F29" i="4" s="1"/>
  <c r="B75" i="4"/>
  <c r="E149" i="2"/>
  <c r="E151" i="2" s="1"/>
  <c r="I20" i="3"/>
  <c r="G30" i="3"/>
  <c r="G84" i="3" s="1"/>
  <c r="G15" i="3"/>
  <c r="E30" i="3"/>
  <c r="I21" i="3"/>
  <c r="C26" i="3"/>
  <c r="E68" i="3"/>
  <c r="F67" i="3"/>
  <c r="B55" i="3"/>
  <c r="I40" i="3"/>
  <c r="J42" i="3"/>
  <c r="H14" i="3"/>
  <c r="C19" i="3"/>
  <c r="C22" i="3"/>
  <c r="C38" i="3"/>
  <c r="F15" i="3"/>
  <c r="F30" i="3" s="1"/>
  <c r="G139" i="3"/>
  <c r="F138" i="3"/>
  <c r="F136" i="3"/>
  <c r="G36" i="3"/>
  <c r="G55" i="3" s="1"/>
  <c r="G111" i="3" s="1"/>
  <c r="G46" i="3"/>
  <c r="G48" i="3"/>
  <c r="G50" i="3"/>
  <c r="G54" i="3"/>
  <c r="F55" i="3"/>
  <c r="F118" i="3" s="1"/>
  <c r="H139" i="3"/>
  <c r="I35" i="3"/>
  <c r="G39" i="3"/>
  <c r="G41" i="3"/>
  <c r="I47" i="3"/>
  <c r="I49" i="3"/>
  <c r="H53" i="3"/>
  <c r="E126" i="3"/>
  <c r="E124" i="3"/>
  <c r="E120" i="3"/>
  <c r="E116" i="3"/>
  <c r="E112" i="3"/>
  <c r="E108" i="3"/>
  <c r="E123" i="3"/>
  <c r="E119" i="3"/>
  <c r="E115" i="3"/>
  <c r="E111" i="3"/>
  <c r="E122" i="3"/>
  <c r="E118" i="3"/>
  <c r="E114" i="3"/>
  <c r="E110" i="3"/>
  <c r="E117" i="3"/>
  <c r="Q17" i="4" l="1"/>
  <c r="F122" i="3"/>
  <c r="F110" i="3"/>
  <c r="Q23" i="4"/>
  <c r="Q20" i="4"/>
  <c r="G22" i="4"/>
  <c r="H22" i="4" s="1"/>
  <c r="I22" i="4" s="1"/>
  <c r="J22" i="4" s="1"/>
  <c r="K22" i="4" s="1"/>
  <c r="L22" i="4" s="1"/>
  <c r="M22" i="4" s="1"/>
  <c r="N22" i="4" s="1"/>
  <c r="O22" i="4" s="1"/>
  <c r="P22" i="4" s="1"/>
  <c r="Q22" i="4"/>
  <c r="F12" i="4"/>
  <c r="G29" i="4"/>
  <c r="H29" i="4" s="1"/>
  <c r="I29" i="4" s="1"/>
  <c r="J29" i="4" s="1"/>
  <c r="K29" i="4" s="1"/>
  <c r="L29" i="4" s="1"/>
  <c r="M29" i="4" s="1"/>
  <c r="N29" i="4" s="1"/>
  <c r="O29" i="4" s="1"/>
  <c r="P29" i="4" s="1"/>
  <c r="B112" i="4"/>
  <c r="F16" i="4"/>
  <c r="H8" i="4"/>
  <c r="I8" i="4" s="1"/>
  <c r="J8" i="4" s="1"/>
  <c r="K8" i="4" s="1"/>
  <c r="G27" i="4"/>
  <c r="H27" i="4" s="1"/>
  <c r="I27" i="4" s="1"/>
  <c r="J27" i="4" s="1"/>
  <c r="K27" i="4" s="1"/>
  <c r="L27" i="4" s="1"/>
  <c r="M27" i="4" s="1"/>
  <c r="N27" i="4" s="1"/>
  <c r="O27" i="4" s="1"/>
  <c r="P27" i="4" s="1"/>
  <c r="Q27" i="4"/>
  <c r="G11" i="4"/>
  <c r="H6" i="4"/>
  <c r="H15" i="4"/>
  <c r="O7" i="4"/>
  <c r="B146" i="4"/>
  <c r="J47" i="3"/>
  <c r="G110" i="3"/>
  <c r="H39" i="3"/>
  <c r="E96" i="3"/>
  <c r="E92" i="3"/>
  <c r="E88" i="3"/>
  <c r="E84" i="3"/>
  <c r="E99" i="3"/>
  <c r="E95" i="3"/>
  <c r="E91" i="3"/>
  <c r="E87" i="3"/>
  <c r="E98" i="3"/>
  <c r="E90" i="3"/>
  <c r="E56" i="3"/>
  <c r="E93" i="3"/>
  <c r="E94" i="3"/>
  <c r="E86" i="3"/>
  <c r="E31" i="3"/>
  <c r="E97" i="3"/>
  <c r="E89" i="3"/>
  <c r="G112" i="3"/>
  <c r="H41" i="3"/>
  <c r="F115" i="3"/>
  <c r="F114" i="3"/>
  <c r="F113" i="3"/>
  <c r="F109" i="3"/>
  <c r="F124" i="3"/>
  <c r="F108" i="3"/>
  <c r="F116" i="3"/>
  <c r="F120" i="3"/>
  <c r="F106" i="3"/>
  <c r="G120" i="3"/>
  <c r="F107" i="3"/>
  <c r="F99" i="3"/>
  <c r="F95" i="3"/>
  <c r="F91" i="3"/>
  <c r="F87" i="3"/>
  <c r="F98" i="3"/>
  <c r="F94" i="3"/>
  <c r="F90" i="3"/>
  <c r="F86" i="3"/>
  <c r="F56" i="3"/>
  <c r="F93" i="3"/>
  <c r="F96" i="3"/>
  <c r="F88" i="3"/>
  <c r="F97" i="3"/>
  <c r="F89" i="3"/>
  <c r="F92" i="3"/>
  <c r="F84" i="3"/>
  <c r="J21" i="3"/>
  <c r="E85" i="3"/>
  <c r="G113" i="3"/>
  <c r="F57" i="3"/>
  <c r="J49" i="3"/>
  <c r="F112" i="3"/>
  <c r="J35" i="3"/>
  <c r="I139" i="3"/>
  <c r="G123" i="3"/>
  <c r="H54" i="3"/>
  <c r="G121" i="3"/>
  <c r="H50" i="3"/>
  <c r="H48" i="3"/>
  <c r="G119" i="3"/>
  <c r="G117" i="3"/>
  <c r="H46" i="3"/>
  <c r="I14" i="3"/>
  <c r="H15" i="3"/>
  <c r="H30" i="3" s="1"/>
  <c r="J40" i="3"/>
  <c r="G114" i="3"/>
  <c r="G109" i="3"/>
  <c r="G124" i="3"/>
  <c r="G116" i="3"/>
  <c r="G108" i="3"/>
  <c r="G115" i="3"/>
  <c r="G138" i="3"/>
  <c r="G136" i="3"/>
  <c r="G107" i="3"/>
  <c r="H36" i="3"/>
  <c r="K42" i="3"/>
  <c r="E69" i="3"/>
  <c r="G98" i="3"/>
  <c r="G94" i="3"/>
  <c r="G86" i="3"/>
  <c r="G56" i="3"/>
  <c r="G97" i="3"/>
  <c r="G93" i="3"/>
  <c r="G89" i="3"/>
  <c r="G96" i="3"/>
  <c r="G88" i="3"/>
  <c r="G99" i="3"/>
  <c r="G91" i="3"/>
  <c r="G92" i="3"/>
  <c r="G95" i="3"/>
  <c r="G87" i="3"/>
  <c r="I53" i="3"/>
  <c r="G122" i="3"/>
  <c r="G118" i="3"/>
  <c r="G106" i="3"/>
  <c r="G90" i="3"/>
  <c r="F111" i="3"/>
  <c r="F123" i="3"/>
  <c r="F121" i="3"/>
  <c r="F119" i="3"/>
  <c r="F117" i="3"/>
  <c r="F85" i="3"/>
  <c r="F68" i="3"/>
  <c r="F69" i="3" s="1"/>
  <c r="G67" i="3"/>
  <c r="G85" i="3"/>
  <c r="J20" i="3"/>
  <c r="G100" i="3" l="1"/>
  <c r="B157" i="4"/>
  <c r="B171" i="4" s="1"/>
  <c r="B178" i="4" s="1"/>
  <c r="Q29" i="4"/>
  <c r="G12" i="4"/>
  <c r="G16" i="4"/>
  <c r="F31" i="4"/>
  <c r="I15" i="4"/>
  <c r="H11" i="4"/>
  <c r="H12" i="4" s="1"/>
  <c r="I6" i="4"/>
  <c r="L8" i="4"/>
  <c r="M8" i="4" s="1"/>
  <c r="N8" i="4" s="1"/>
  <c r="O8" i="4" s="1"/>
  <c r="P8" i="4" s="1"/>
  <c r="P7" i="4"/>
  <c r="B189" i="4"/>
  <c r="B198" i="4"/>
  <c r="B66" i="4"/>
  <c r="B199" i="4"/>
  <c r="B193" i="4"/>
  <c r="B200" i="4"/>
  <c r="B195" i="4"/>
  <c r="B192" i="4"/>
  <c r="B196" i="4"/>
  <c r="B188" i="4"/>
  <c r="B194" i="4"/>
  <c r="B191" i="4"/>
  <c r="B63" i="4"/>
  <c r="B190" i="4"/>
  <c r="B165" i="4"/>
  <c r="B201" i="4"/>
  <c r="H97" i="3"/>
  <c r="H93" i="3"/>
  <c r="H89" i="3"/>
  <c r="H96" i="3"/>
  <c r="H92" i="3"/>
  <c r="H88" i="3"/>
  <c r="H99" i="3"/>
  <c r="H94" i="3"/>
  <c r="H86" i="3"/>
  <c r="H95" i="3"/>
  <c r="H87" i="3"/>
  <c r="H98" i="3"/>
  <c r="H90" i="3"/>
  <c r="H91" i="3"/>
  <c r="H84" i="3"/>
  <c r="K21" i="3"/>
  <c r="K20" i="3"/>
  <c r="F73" i="3"/>
  <c r="F130" i="3" s="1"/>
  <c r="K47" i="3"/>
  <c r="I50" i="3"/>
  <c r="G57" i="3"/>
  <c r="J53" i="3"/>
  <c r="H138" i="3"/>
  <c r="H136" i="3"/>
  <c r="I36" i="3"/>
  <c r="H55" i="3"/>
  <c r="H121" i="3" s="1"/>
  <c r="H85" i="3"/>
  <c r="I46" i="3"/>
  <c r="I48" i="3"/>
  <c r="K49" i="3"/>
  <c r="F100" i="3"/>
  <c r="E100" i="3"/>
  <c r="G68" i="3"/>
  <c r="G69" i="3" s="1"/>
  <c r="G73" i="3" s="1"/>
  <c r="G130" i="3" s="1"/>
  <c r="H67" i="3"/>
  <c r="L42" i="3"/>
  <c r="K40" i="3"/>
  <c r="J14" i="3"/>
  <c r="I15" i="3"/>
  <c r="I54" i="3"/>
  <c r="J139" i="3"/>
  <c r="K35" i="3"/>
  <c r="I41" i="3"/>
  <c r="F31" i="3"/>
  <c r="E73" i="3"/>
  <c r="I39" i="3"/>
  <c r="H100" i="3" l="1"/>
  <c r="Q8" i="4"/>
  <c r="B197" i="4"/>
  <c r="F32" i="4"/>
  <c r="F35" i="4"/>
  <c r="I11" i="4"/>
  <c r="I12" i="4" s="1"/>
  <c r="J6" i="4"/>
  <c r="J15" i="4"/>
  <c r="H16" i="4"/>
  <c r="G31" i="4"/>
  <c r="G35" i="4" s="1"/>
  <c r="Q7" i="4"/>
  <c r="B167" i="4"/>
  <c r="B183" i="4"/>
  <c r="B184" i="4" s="1"/>
  <c r="B185" i="4" s="1"/>
  <c r="B203" i="4"/>
  <c r="L49" i="3"/>
  <c r="J46" i="3"/>
  <c r="J50" i="3"/>
  <c r="J41" i="3"/>
  <c r="H117" i="3"/>
  <c r="I138" i="3"/>
  <c r="I136" i="3"/>
  <c r="J36" i="3"/>
  <c r="I55" i="3"/>
  <c r="I121" i="3" s="1"/>
  <c r="M42" i="3"/>
  <c r="H109" i="3"/>
  <c r="H124" i="3"/>
  <c r="H116" i="3"/>
  <c r="H108" i="3"/>
  <c r="H115" i="3"/>
  <c r="H114" i="3"/>
  <c r="H111" i="3"/>
  <c r="H120" i="3"/>
  <c r="H106" i="3"/>
  <c r="H113" i="3"/>
  <c r="H118" i="3"/>
  <c r="H122" i="3"/>
  <c r="E77" i="3"/>
  <c r="E130" i="3"/>
  <c r="E134" i="3" s="1"/>
  <c r="F132" i="3" s="1"/>
  <c r="F134" i="3" s="1"/>
  <c r="G132" i="3" s="1"/>
  <c r="G134" i="3" s="1"/>
  <c r="H132" i="3" s="1"/>
  <c r="I85" i="3"/>
  <c r="J39" i="3"/>
  <c r="H112" i="3"/>
  <c r="K139" i="3"/>
  <c r="L35" i="3"/>
  <c r="H123" i="3"/>
  <c r="I30" i="3"/>
  <c r="L40" i="3"/>
  <c r="I67" i="3"/>
  <c r="H68" i="3"/>
  <c r="H69" i="3" s="1"/>
  <c r="J48" i="3"/>
  <c r="H107" i="3"/>
  <c r="L47" i="3"/>
  <c r="L21" i="3"/>
  <c r="H56" i="3"/>
  <c r="L20" i="3"/>
  <c r="J54" i="3"/>
  <c r="H110" i="3"/>
  <c r="G31" i="3"/>
  <c r="J15" i="3"/>
  <c r="J30" i="3" s="1"/>
  <c r="K14" i="3"/>
  <c r="H119" i="3"/>
  <c r="K53" i="3"/>
  <c r="H57" i="3"/>
  <c r="I119" i="3" l="1"/>
  <c r="I117" i="3"/>
  <c r="I123" i="3"/>
  <c r="I110" i="3"/>
  <c r="K15" i="4"/>
  <c r="F36" i="4"/>
  <c r="G36" i="4" s="1"/>
  <c r="K6" i="4"/>
  <c r="J11" i="4"/>
  <c r="J12" i="4" s="1"/>
  <c r="G32" i="4"/>
  <c r="I16" i="4"/>
  <c r="H31" i="4"/>
  <c r="K54" i="3"/>
  <c r="M49" i="3"/>
  <c r="J99" i="3"/>
  <c r="J95" i="3"/>
  <c r="J87" i="3"/>
  <c r="J98" i="3"/>
  <c r="J94" i="3"/>
  <c r="J86" i="3"/>
  <c r="J97" i="3"/>
  <c r="J89" i="3"/>
  <c r="J92" i="3"/>
  <c r="J93" i="3"/>
  <c r="J88" i="3"/>
  <c r="J96" i="3"/>
  <c r="J91" i="3"/>
  <c r="J90" i="3"/>
  <c r="J138" i="3"/>
  <c r="J136" i="3"/>
  <c r="K36" i="3"/>
  <c r="J55" i="3"/>
  <c r="J121" i="3" s="1"/>
  <c r="H31" i="3"/>
  <c r="L53" i="3"/>
  <c r="K15" i="3"/>
  <c r="K30" i="3" s="1"/>
  <c r="L14" i="3"/>
  <c r="M20" i="3"/>
  <c r="M21" i="3"/>
  <c r="I96" i="3"/>
  <c r="I92" i="3"/>
  <c r="I88" i="3"/>
  <c r="I99" i="3"/>
  <c r="I95" i="3"/>
  <c r="I87" i="3"/>
  <c r="I94" i="3"/>
  <c r="I86" i="3"/>
  <c r="I56" i="3"/>
  <c r="I97" i="3"/>
  <c r="I89" i="3"/>
  <c r="I98" i="3"/>
  <c r="I93" i="3"/>
  <c r="I91" i="3"/>
  <c r="I90" i="3"/>
  <c r="I84" i="3"/>
  <c r="K39" i="3"/>
  <c r="F75" i="3"/>
  <c r="E127" i="3"/>
  <c r="N42" i="3"/>
  <c r="I124" i="3"/>
  <c r="I116" i="3"/>
  <c r="I108" i="3"/>
  <c r="I115" i="3"/>
  <c r="I114" i="3"/>
  <c r="I109" i="3"/>
  <c r="I113" i="3"/>
  <c r="I120" i="3"/>
  <c r="I118" i="3"/>
  <c r="I106" i="3"/>
  <c r="I111" i="3"/>
  <c r="I122" i="3"/>
  <c r="K41" i="3"/>
  <c r="H73" i="3"/>
  <c r="H130" i="3" s="1"/>
  <c r="H134" i="3" s="1"/>
  <c r="I132" i="3" s="1"/>
  <c r="K48" i="3"/>
  <c r="M40" i="3"/>
  <c r="L139" i="3"/>
  <c r="M35" i="3"/>
  <c r="K50" i="3"/>
  <c r="J84" i="3"/>
  <c r="I57" i="3"/>
  <c r="J85" i="3"/>
  <c r="M47" i="3"/>
  <c r="J67" i="3"/>
  <c r="I68" i="3"/>
  <c r="I107" i="3"/>
  <c r="I112" i="3"/>
  <c r="K46" i="3"/>
  <c r="J56" i="3" l="1"/>
  <c r="J110" i="3"/>
  <c r="I100" i="3"/>
  <c r="J119" i="3"/>
  <c r="J117" i="3"/>
  <c r="J112" i="3"/>
  <c r="H32" i="4"/>
  <c r="L15" i="4"/>
  <c r="J16" i="4"/>
  <c r="I31" i="4"/>
  <c r="I35" i="4" s="1"/>
  <c r="L6" i="4"/>
  <c r="K11" i="4"/>
  <c r="K12" i="4" s="1"/>
  <c r="H35" i="4"/>
  <c r="H36" i="4" s="1"/>
  <c r="I36" i="4" s="1"/>
  <c r="N40" i="3"/>
  <c r="K98" i="3"/>
  <c r="K94" i="3"/>
  <c r="K86" i="3"/>
  <c r="K97" i="3"/>
  <c r="K93" i="3"/>
  <c r="K89" i="3"/>
  <c r="K92" i="3"/>
  <c r="K95" i="3"/>
  <c r="K87" i="3"/>
  <c r="K96" i="3"/>
  <c r="K88" i="3"/>
  <c r="K99" i="3"/>
  <c r="K90" i="3"/>
  <c r="K91" i="3"/>
  <c r="J68" i="3"/>
  <c r="J69" i="3" s="1"/>
  <c r="J73" i="3" s="1"/>
  <c r="J130" i="3" s="1"/>
  <c r="K67" i="3"/>
  <c r="N47" i="3"/>
  <c r="J57" i="3"/>
  <c r="F79" i="3"/>
  <c r="F77" i="3"/>
  <c r="F126" i="3"/>
  <c r="K84" i="3"/>
  <c r="L48" i="3"/>
  <c r="L39" i="3"/>
  <c r="N21" i="3"/>
  <c r="L84" i="3"/>
  <c r="M14" i="3"/>
  <c r="L15" i="3"/>
  <c r="L30" i="3"/>
  <c r="M53" i="3"/>
  <c r="I31" i="3"/>
  <c r="L54" i="3"/>
  <c r="I69" i="3"/>
  <c r="I73" i="3" s="1"/>
  <c r="I130" i="3" s="1"/>
  <c r="I134" i="3" s="1"/>
  <c r="J132" i="3" s="1"/>
  <c r="L50" i="3"/>
  <c r="K138" i="3"/>
  <c r="K136" i="3"/>
  <c r="L36" i="3"/>
  <c r="K55" i="3"/>
  <c r="K123" i="3" s="1"/>
  <c r="K117" i="3"/>
  <c r="L46" i="3"/>
  <c r="J100" i="3"/>
  <c r="M139" i="3"/>
  <c r="N35" i="3"/>
  <c r="L41" i="3"/>
  <c r="O42" i="3"/>
  <c r="N20" i="3"/>
  <c r="K85" i="3"/>
  <c r="J115" i="3"/>
  <c r="J114" i="3"/>
  <c r="J109" i="3"/>
  <c r="J124" i="3"/>
  <c r="J108" i="3"/>
  <c r="J116" i="3"/>
  <c r="J113" i="3"/>
  <c r="J118" i="3"/>
  <c r="J111" i="3"/>
  <c r="J106" i="3"/>
  <c r="J120" i="3"/>
  <c r="J122" i="3"/>
  <c r="J107" i="3"/>
  <c r="N49" i="3"/>
  <c r="J123" i="3"/>
  <c r="K100" i="3" l="1"/>
  <c r="M15" i="4"/>
  <c r="K16" i="4"/>
  <c r="J31" i="4"/>
  <c r="I32" i="4"/>
  <c r="J32" i="4" s="1"/>
  <c r="M6" i="4"/>
  <c r="L11" i="4"/>
  <c r="L12" i="4" s="1"/>
  <c r="J134" i="3"/>
  <c r="K132" i="3" s="1"/>
  <c r="J31" i="3"/>
  <c r="N53" i="3"/>
  <c r="M39" i="3"/>
  <c r="L97" i="3"/>
  <c r="L93" i="3"/>
  <c r="L89" i="3"/>
  <c r="L96" i="3"/>
  <c r="L92" i="3"/>
  <c r="L88" i="3"/>
  <c r="L95" i="3"/>
  <c r="L87" i="3"/>
  <c r="L98" i="3"/>
  <c r="L99" i="3"/>
  <c r="L94" i="3"/>
  <c r="L86" i="3"/>
  <c r="L90" i="3"/>
  <c r="L91" i="3"/>
  <c r="O21" i="3"/>
  <c r="K110" i="3"/>
  <c r="K57" i="3"/>
  <c r="K68" i="3"/>
  <c r="L67" i="3"/>
  <c r="O49" i="3"/>
  <c r="M41" i="3"/>
  <c r="N139" i="3"/>
  <c r="O35" i="3"/>
  <c r="K107" i="3"/>
  <c r="M50" i="3"/>
  <c r="L85" i="3"/>
  <c r="M48" i="3"/>
  <c r="G75" i="3"/>
  <c r="F127" i="3"/>
  <c r="K114" i="3"/>
  <c r="K109" i="3"/>
  <c r="K124" i="3"/>
  <c r="K116" i="3"/>
  <c r="K108" i="3"/>
  <c r="K115" i="3"/>
  <c r="K113" i="3"/>
  <c r="K111" i="3"/>
  <c r="K120" i="3"/>
  <c r="K106" i="3"/>
  <c r="K118" i="3"/>
  <c r="K122" i="3"/>
  <c r="O20" i="3"/>
  <c r="P42" i="3"/>
  <c r="K112" i="3"/>
  <c r="L117" i="3"/>
  <c r="M46" i="3"/>
  <c r="L138" i="3"/>
  <c r="L136" i="3"/>
  <c r="L107" i="3"/>
  <c r="M36" i="3"/>
  <c r="L55" i="3"/>
  <c r="L110" i="3" s="1"/>
  <c r="K121" i="3"/>
  <c r="L123" i="3"/>
  <c r="M54" i="3"/>
  <c r="N14" i="3"/>
  <c r="M15" i="3"/>
  <c r="M30" i="3" s="1"/>
  <c r="M84" i="3" s="1"/>
  <c r="K119" i="3"/>
  <c r="O47" i="3"/>
  <c r="K56" i="3"/>
  <c r="O40" i="3"/>
  <c r="L100" i="3" l="1"/>
  <c r="J35" i="4"/>
  <c r="N15" i="4"/>
  <c r="L16" i="4"/>
  <c r="K31" i="4"/>
  <c r="K35" i="4" s="1"/>
  <c r="N6" i="4"/>
  <c r="M11" i="4"/>
  <c r="M12" i="4" s="1"/>
  <c r="N30" i="3"/>
  <c r="N15" i="3"/>
  <c r="O14" i="3"/>
  <c r="N41" i="3"/>
  <c r="L57" i="3"/>
  <c r="N39" i="3"/>
  <c r="K31" i="3"/>
  <c r="M119" i="3"/>
  <c r="N48" i="3"/>
  <c r="L121" i="3"/>
  <c r="O139" i="3"/>
  <c r="P35" i="3"/>
  <c r="L112" i="3"/>
  <c r="K69" i="3"/>
  <c r="K73" i="3" s="1"/>
  <c r="K130" i="3" s="1"/>
  <c r="K134" i="3" s="1"/>
  <c r="L132" i="3" s="1"/>
  <c r="L56" i="3"/>
  <c r="N50" i="3"/>
  <c r="L68" i="3"/>
  <c r="L69" i="3" s="1"/>
  <c r="M67" i="3"/>
  <c r="M85" i="3"/>
  <c r="L109" i="3"/>
  <c r="L124" i="3"/>
  <c r="L116" i="3"/>
  <c r="L108" i="3"/>
  <c r="L115" i="3"/>
  <c r="L114" i="3"/>
  <c r="L113" i="3"/>
  <c r="L111" i="3"/>
  <c r="L106" i="3"/>
  <c r="L120" i="3"/>
  <c r="L118" i="3"/>
  <c r="L122" i="3"/>
  <c r="D42" i="3"/>
  <c r="L119" i="3"/>
  <c r="P49" i="3"/>
  <c r="O53" i="3"/>
  <c r="P20" i="3"/>
  <c r="D20" i="3"/>
  <c r="P40" i="3"/>
  <c r="P47" i="3"/>
  <c r="M96" i="3"/>
  <c r="M92" i="3"/>
  <c r="M88" i="3"/>
  <c r="M99" i="3"/>
  <c r="M95" i="3"/>
  <c r="M87" i="3"/>
  <c r="M98" i="3"/>
  <c r="M93" i="3"/>
  <c r="M94" i="3"/>
  <c r="M86" i="3"/>
  <c r="M97" i="3"/>
  <c r="M89" i="3"/>
  <c r="M90" i="3"/>
  <c r="M91" i="3"/>
  <c r="N54" i="3"/>
  <c r="M138" i="3"/>
  <c r="N36" i="3"/>
  <c r="M136" i="3"/>
  <c r="M55" i="3"/>
  <c r="M56" i="3" s="1"/>
  <c r="N46" i="3"/>
  <c r="M117" i="3"/>
  <c r="G79" i="3"/>
  <c r="G77" i="3"/>
  <c r="G126" i="3"/>
  <c r="P21" i="3"/>
  <c r="M100" i="3" l="1"/>
  <c r="M112" i="3"/>
  <c r="M16" i="4"/>
  <c r="L31" i="4"/>
  <c r="L35" i="4" s="1"/>
  <c r="J36" i="4"/>
  <c r="K36" i="4" s="1"/>
  <c r="O6" i="4"/>
  <c r="N11" i="4"/>
  <c r="N12" i="4" s="1"/>
  <c r="O15" i="4"/>
  <c r="K32" i="4"/>
  <c r="M57" i="3"/>
  <c r="N138" i="3"/>
  <c r="N136" i="3"/>
  <c r="O36" i="3"/>
  <c r="N55" i="3"/>
  <c r="N112" i="3" s="1"/>
  <c r="M123" i="3"/>
  <c r="D47" i="3"/>
  <c r="C20" i="3"/>
  <c r="C42" i="3"/>
  <c r="M121" i="3"/>
  <c r="L31" i="3"/>
  <c r="O15" i="3"/>
  <c r="O30" i="3" s="1"/>
  <c r="P14" i="3"/>
  <c r="N123" i="3"/>
  <c r="O54" i="3"/>
  <c r="P53" i="3"/>
  <c r="O50" i="3"/>
  <c r="N99" i="3"/>
  <c r="N95" i="3"/>
  <c r="N87" i="3"/>
  <c r="N98" i="3"/>
  <c r="N94" i="3"/>
  <c r="N86" i="3"/>
  <c r="N93" i="3"/>
  <c r="N96" i="3"/>
  <c r="N88" i="3"/>
  <c r="N97" i="3"/>
  <c r="N89" i="3"/>
  <c r="N92" i="3"/>
  <c r="N91" i="3"/>
  <c r="N90" i="3"/>
  <c r="O46" i="3"/>
  <c r="H75" i="3"/>
  <c r="G127" i="3"/>
  <c r="D49" i="3"/>
  <c r="M68" i="3"/>
  <c r="M69" i="3" s="1"/>
  <c r="M73" i="3" s="1"/>
  <c r="M130" i="3" s="1"/>
  <c r="N67" i="3"/>
  <c r="L73" i="3"/>
  <c r="L130" i="3" s="1"/>
  <c r="L134" i="3" s="1"/>
  <c r="M132" i="3" s="1"/>
  <c r="P139" i="3"/>
  <c r="D35" i="3"/>
  <c r="O39" i="3"/>
  <c r="N84" i="3"/>
  <c r="M124" i="3"/>
  <c r="M116" i="3"/>
  <c r="M108" i="3"/>
  <c r="M115" i="3"/>
  <c r="M114" i="3"/>
  <c r="M109" i="3"/>
  <c r="M113" i="3"/>
  <c r="M106" i="3"/>
  <c r="M120" i="3"/>
  <c r="M118" i="3"/>
  <c r="M111" i="3"/>
  <c r="M122" i="3"/>
  <c r="M107" i="3"/>
  <c r="D40" i="3"/>
  <c r="N119" i="3"/>
  <c r="O48" i="3"/>
  <c r="M110" i="3"/>
  <c r="O41" i="3"/>
  <c r="N85" i="3"/>
  <c r="D21" i="3"/>
  <c r="D199" i="2"/>
  <c r="D198" i="2"/>
  <c r="D200" i="2"/>
  <c r="D193" i="2"/>
  <c r="D195" i="2"/>
  <c r="D197" i="2"/>
  <c r="D201" i="2"/>
  <c r="D194" i="2"/>
  <c r="D191" i="2"/>
  <c r="D196" i="2"/>
  <c r="D192" i="2"/>
  <c r="D202" i="2"/>
  <c r="D190" i="2"/>
  <c r="N110" i="3" l="1"/>
  <c r="L36" i="4"/>
  <c r="N56" i="3"/>
  <c r="N121" i="3"/>
  <c r="N100" i="3"/>
  <c r="N117" i="3"/>
  <c r="L32" i="4"/>
  <c r="P15" i="4"/>
  <c r="P6" i="4"/>
  <c r="O11" i="4"/>
  <c r="O12" i="4" s="1"/>
  <c r="N16" i="4"/>
  <c r="M31" i="4"/>
  <c r="M35" i="4" s="1"/>
  <c r="M36" i="4" s="1"/>
  <c r="O98" i="3"/>
  <c r="O94" i="3"/>
  <c r="O86" i="3"/>
  <c r="O97" i="3"/>
  <c r="O93" i="3"/>
  <c r="O89" i="3"/>
  <c r="O96" i="3"/>
  <c r="O88" i="3"/>
  <c r="O99" i="3"/>
  <c r="O92" i="3"/>
  <c r="O95" i="3"/>
  <c r="O87" i="3"/>
  <c r="O90" i="3"/>
  <c r="O91" i="3"/>
  <c r="O84" i="3"/>
  <c r="M134" i="3"/>
  <c r="N132" i="3" s="1"/>
  <c r="P48" i="3"/>
  <c r="N68" i="3"/>
  <c r="N69" i="3" s="1"/>
  <c r="N73" i="3" s="1"/>
  <c r="N130" i="3" s="1"/>
  <c r="O67" i="3"/>
  <c r="P50" i="3"/>
  <c r="P54" i="3"/>
  <c r="M31" i="3"/>
  <c r="P39" i="3"/>
  <c r="N115" i="3"/>
  <c r="N114" i="3"/>
  <c r="N109" i="3"/>
  <c r="N116" i="3"/>
  <c r="N108" i="3"/>
  <c r="N124" i="3"/>
  <c r="N113" i="3"/>
  <c r="N120" i="3"/>
  <c r="N118" i="3"/>
  <c r="N106" i="3"/>
  <c r="N111" i="3"/>
  <c r="N122" i="3"/>
  <c r="N107" i="3"/>
  <c r="O85" i="3"/>
  <c r="P15" i="3"/>
  <c r="P41" i="3"/>
  <c r="C21" i="3"/>
  <c r="C40" i="3"/>
  <c r="C49" i="3"/>
  <c r="H77" i="3"/>
  <c r="H79" i="3"/>
  <c r="H126" i="3"/>
  <c r="D53" i="3"/>
  <c r="P30" i="3"/>
  <c r="D14" i="3"/>
  <c r="C47" i="3"/>
  <c r="O138" i="3"/>
  <c r="O136" i="3"/>
  <c r="P36" i="3"/>
  <c r="O55" i="3"/>
  <c r="C35" i="3"/>
  <c r="O117" i="3"/>
  <c r="P46" i="3"/>
  <c r="N57" i="3"/>
  <c r="D189" i="2"/>
  <c r="D204" i="2" s="1"/>
  <c r="M32" i="4" l="1"/>
  <c r="O16" i="4"/>
  <c r="N31" i="4"/>
  <c r="N35" i="4" s="1"/>
  <c r="N36" i="4" s="1"/>
  <c r="Q15" i="4"/>
  <c r="P11" i="4"/>
  <c r="P12" i="4" s="1"/>
  <c r="Q6" i="4"/>
  <c r="Q11" i="4" s="1"/>
  <c r="O114" i="3"/>
  <c r="O109" i="3"/>
  <c r="O124" i="3"/>
  <c r="O116" i="3"/>
  <c r="O108" i="3"/>
  <c r="O115" i="3"/>
  <c r="O113" i="3"/>
  <c r="O120" i="3"/>
  <c r="O118" i="3"/>
  <c r="O106" i="3"/>
  <c r="O111" i="3"/>
  <c r="O122" i="3"/>
  <c r="P97" i="3"/>
  <c r="P93" i="3"/>
  <c r="P89" i="3"/>
  <c r="P96" i="3"/>
  <c r="P92" i="3"/>
  <c r="P88" i="3"/>
  <c r="P99" i="3"/>
  <c r="P94" i="3"/>
  <c r="P86" i="3"/>
  <c r="P95" i="3"/>
  <c r="P87" i="3"/>
  <c r="P98" i="3"/>
  <c r="P91" i="3"/>
  <c r="P90" i="3"/>
  <c r="N31" i="3"/>
  <c r="D54" i="3"/>
  <c r="O100" i="3"/>
  <c r="O56" i="3"/>
  <c r="O57" i="3"/>
  <c r="O107" i="3"/>
  <c r="P84" i="3"/>
  <c r="D41" i="3"/>
  <c r="D50" i="3"/>
  <c r="O119" i="3"/>
  <c r="P138" i="3"/>
  <c r="P136" i="3"/>
  <c r="D36" i="3"/>
  <c r="P55" i="3"/>
  <c r="P107" i="3" s="1"/>
  <c r="C53" i="3"/>
  <c r="I75" i="3"/>
  <c r="H127" i="3"/>
  <c r="O112" i="3"/>
  <c r="D39" i="3"/>
  <c r="O121" i="3"/>
  <c r="D48" i="3"/>
  <c r="D46" i="3"/>
  <c r="D30" i="3"/>
  <c r="M32" i="3" s="1"/>
  <c r="C14" i="3"/>
  <c r="P85" i="3"/>
  <c r="D15" i="3"/>
  <c r="O110" i="3"/>
  <c r="O123" i="3"/>
  <c r="O68" i="3"/>
  <c r="O69" i="3" s="1"/>
  <c r="P67" i="3"/>
  <c r="P68" i="3" s="1"/>
  <c r="N134" i="3"/>
  <c r="O132" i="3" s="1"/>
  <c r="P16" i="4" l="1"/>
  <c r="O31" i="4"/>
  <c r="O35" i="4" s="1"/>
  <c r="N32" i="4"/>
  <c r="O32" i="4" s="1"/>
  <c r="O36" i="4"/>
  <c r="O31" i="3"/>
  <c r="N101" i="3"/>
  <c r="N32" i="3"/>
  <c r="P56" i="3"/>
  <c r="P117" i="3"/>
  <c r="D110" i="3"/>
  <c r="C39" i="3"/>
  <c r="I77" i="3"/>
  <c r="I79" i="3"/>
  <c r="I126" i="3"/>
  <c r="D107" i="3"/>
  <c r="C36" i="3"/>
  <c r="D55" i="3"/>
  <c r="P112" i="3"/>
  <c r="D112" i="3"/>
  <c r="C41" i="3"/>
  <c r="D73" i="3"/>
  <c r="D77" i="3" s="1"/>
  <c r="C30" i="3"/>
  <c r="C31" i="3" s="1"/>
  <c r="D86" i="3"/>
  <c r="D94" i="3"/>
  <c r="D88" i="3"/>
  <c r="D99" i="3"/>
  <c r="D89" i="3"/>
  <c r="D95" i="3"/>
  <c r="D93" i="3"/>
  <c r="D92" i="3"/>
  <c r="D87" i="3"/>
  <c r="D97" i="3"/>
  <c r="D98" i="3"/>
  <c r="D96" i="3"/>
  <c r="E32" i="3"/>
  <c r="E101" i="3"/>
  <c r="F32" i="3"/>
  <c r="F101" i="3"/>
  <c r="G101" i="3"/>
  <c r="G32" i="3"/>
  <c r="H32" i="3"/>
  <c r="H101" i="3"/>
  <c r="I101" i="3"/>
  <c r="I32" i="3"/>
  <c r="J101" i="3"/>
  <c r="J32" i="3"/>
  <c r="K32" i="3"/>
  <c r="K101" i="3"/>
  <c r="D90" i="3"/>
  <c r="D91" i="3"/>
  <c r="L32" i="3"/>
  <c r="L101" i="3"/>
  <c r="D119" i="3"/>
  <c r="C48" i="3"/>
  <c r="P110" i="3"/>
  <c r="D121" i="3"/>
  <c r="C50" i="3"/>
  <c r="P100" i="3"/>
  <c r="O125" i="3"/>
  <c r="O58" i="3"/>
  <c r="P57" i="3"/>
  <c r="D123" i="3"/>
  <c r="C54" i="3"/>
  <c r="M101" i="3"/>
  <c r="D117" i="3"/>
  <c r="C46" i="3"/>
  <c r="P109" i="3"/>
  <c r="P124" i="3"/>
  <c r="P116" i="3"/>
  <c r="P108" i="3"/>
  <c r="P115" i="3"/>
  <c r="P114" i="3"/>
  <c r="P113" i="3"/>
  <c r="P118" i="3"/>
  <c r="P120" i="3"/>
  <c r="P111" i="3"/>
  <c r="P106" i="3"/>
  <c r="P122" i="3"/>
  <c r="O73" i="3"/>
  <c r="O130" i="3" s="1"/>
  <c r="O134" i="3" s="1"/>
  <c r="P132" i="3" s="1"/>
  <c r="P69" i="3"/>
  <c r="D69" i="3" s="1"/>
  <c r="D68" i="3"/>
  <c r="D85" i="3"/>
  <c r="C15" i="3"/>
  <c r="D84" i="3"/>
  <c r="P119" i="3"/>
  <c r="P121" i="3"/>
  <c r="P123" i="3"/>
  <c r="D100" i="3" l="1"/>
  <c r="Q16" i="4"/>
  <c r="P31" i="4"/>
  <c r="P125" i="3"/>
  <c r="P58" i="3"/>
  <c r="D124" i="3"/>
  <c r="D130" i="3" s="1"/>
  <c r="D134" i="3" s="1"/>
  <c r="D114" i="3"/>
  <c r="E58" i="3"/>
  <c r="E125" i="3"/>
  <c r="D109" i="3"/>
  <c r="D116" i="3"/>
  <c r="D108" i="3"/>
  <c r="D115" i="3"/>
  <c r="F58" i="3"/>
  <c r="F59" i="3" s="1"/>
  <c r="F125" i="3"/>
  <c r="G125" i="3"/>
  <c r="G58" i="3"/>
  <c r="G59" i="3" s="1"/>
  <c r="H125" i="3"/>
  <c r="H58" i="3"/>
  <c r="H59" i="3" s="1"/>
  <c r="I125" i="3"/>
  <c r="I58" i="3"/>
  <c r="I59" i="3" s="1"/>
  <c r="J125" i="3"/>
  <c r="J58" i="3"/>
  <c r="J59" i="3" s="1"/>
  <c r="K125" i="3"/>
  <c r="K58" i="3"/>
  <c r="D113" i="3"/>
  <c r="L58" i="3"/>
  <c r="L125" i="3"/>
  <c r="D106" i="3"/>
  <c r="D111" i="3"/>
  <c r="D118" i="3"/>
  <c r="M125" i="3"/>
  <c r="D120" i="3"/>
  <c r="M58" i="3"/>
  <c r="M59" i="3" s="1"/>
  <c r="N125" i="3"/>
  <c r="D122" i="3"/>
  <c r="N58" i="3"/>
  <c r="N59" i="3" s="1"/>
  <c r="P31" i="3"/>
  <c r="O32" i="3"/>
  <c r="O59" i="3" s="1"/>
  <c r="O101" i="3"/>
  <c r="L59" i="3"/>
  <c r="K59" i="3"/>
  <c r="E59" i="3"/>
  <c r="C55" i="3"/>
  <c r="C56" i="3" s="1"/>
  <c r="J75" i="3"/>
  <c r="I127" i="3"/>
  <c r="P73" i="3"/>
  <c r="P130" i="3" s="1"/>
  <c r="P134" i="3" s="1"/>
  <c r="D56" i="3"/>
  <c r="P35" i="4" l="1"/>
  <c r="Q31" i="4"/>
  <c r="P32" i="4"/>
  <c r="J79" i="3"/>
  <c r="J77" i="3"/>
  <c r="J126" i="3"/>
  <c r="P32" i="3"/>
  <c r="P59" i="3" s="1"/>
  <c r="P101" i="3"/>
  <c r="Q35" i="4" l="1"/>
  <c r="P36" i="4"/>
  <c r="K75" i="3"/>
  <c r="J127" i="3"/>
  <c r="K77" i="3" l="1"/>
  <c r="K79" i="3"/>
  <c r="K126" i="3"/>
  <c r="L75" i="3" l="1"/>
  <c r="K127" i="3"/>
  <c r="L77" i="3" l="1"/>
  <c r="L79" i="3"/>
  <c r="L126" i="3"/>
  <c r="M75" i="3" l="1"/>
  <c r="L127" i="3"/>
  <c r="M77" i="3" l="1"/>
  <c r="M79" i="3"/>
  <c r="M126" i="3"/>
  <c r="N75" i="3" l="1"/>
  <c r="M127" i="3"/>
  <c r="N79" i="3" l="1"/>
  <c r="N77" i="3"/>
  <c r="N126" i="3"/>
  <c r="O75" i="3" l="1"/>
  <c r="N127" i="3"/>
  <c r="O79" i="3" l="1"/>
  <c r="O77" i="3"/>
  <c r="O126" i="3"/>
  <c r="P75" i="3" l="1"/>
  <c r="O127" i="3"/>
  <c r="P77" i="3" l="1"/>
  <c r="P127" i="3" s="1"/>
  <c r="P79" i="3"/>
  <c r="P12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 Padron</author>
  </authors>
  <commentList>
    <comment ref="I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Assumes minor SPED funding in Year 1 of operations</t>
        </r>
      </text>
    </comment>
    <comment ref="P2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Assumes minor SPED funding in Year 1 of operations</t>
        </r>
      </text>
    </comment>
    <comment ref="F4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Includes EMO Fee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 Padron</author>
  </authors>
  <commentList>
    <comment ref="B16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1625 East Carey Avenue, North Las Vegas, NV 89030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 Padron</author>
  </authors>
  <commentList>
    <comment ref="B16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1625 East Carey Avenue, North Las Vegas, NV 89030</t>
        </r>
      </text>
    </comment>
  </commentList>
</comments>
</file>

<file path=xl/sharedStrings.xml><?xml version="1.0" encoding="utf-8"?>
<sst xmlns="http://schemas.openxmlformats.org/spreadsheetml/2006/main" count="628" uniqueCount="327">
  <si>
    <t>CIVICA NV</t>
  </si>
  <si>
    <t>21-22</t>
  </si>
  <si>
    <t>WFTE Gross Value</t>
  </si>
  <si>
    <t>Total Students (FTEs)</t>
  </si>
  <si>
    <t>Kinder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</si>
  <si>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</si>
  <si>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</si>
  <si>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</si>
  <si>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</si>
  <si>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</si>
  <si>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</si>
  <si>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</si>
  <si>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</si>
  <si>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</si>
  <si>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</si>
  <si>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</si>
  <si>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</si>
  <si>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Prior Year Numbers</t>
  </si>
  <si>
    <t>SPED</t>
  </si>
  <si>
    <t>FRL %</t>
  </si>
  <si>
    <t>TEACHING STAFF</t>
  </si>
  <si>
    <t>Classroom Teachers</t>
  </si>
  <si>
    <t>SPED Teachers</t>
  </si>
  <si>
    <t>Art Teacher</t>
  </si>
  <si>
    <t>Music</t>
  </si>
  <si>
    <t>PE Teacher</t>
  </si>
  <si>
    <t xml:space="preserve">Dance </t>
  </si>
  <si>
    <t>Technology (STEM)</t>
  </si>
  <si>
    <t>Additional Core</t>
  </si>
  <si>
    <t>Spanish / Language</t>
  </si>
  <si>
    <t>Additional Elective Teachers</t>
  </si>
  <si>
    <t xml:space="preserve">     Total Teaching Staff</t>
  </si>
  <si>
    <t>ADMIN &amp; SUPPORT</t>
  </si>
  <si>
    <t>Executive Director &amp; Assistant</t>
  </si>
  <si>
    <t>Principal</t>
  </si>
  <si>
    <t>Assistant Principal</t>
  </si>
  <si>
    <t>ELL Coordinator</t>
  </si>
  <si>
    <t>Counselor/ Student Support Advocate</t>
  </si>
  <si>
    <t>Curriculum Coach</t>
  </si>
  <si>
    <t>Office Manager</t>
  </si>
  <si>
    <t>Registrar</t>
  </si>
  <si>
    <t>Clinic Aide/ FASA</t>
  </si>
  <si>
    <t>Receptionist</t>
  </si>
  <si>
    <t>Teacher Assistants (Including SPED)</t>
  </si>
  <si>
    <t>Campus Monitor/Custodian</t>
  </si>
  <si>
    <t>NSLP/Cafeterial Manager</t>
  </si>
  <si>
    <t>SPED Facilitator</t>
  </si>
  <si>
    <t>Speech Pathologist</t>
  </si>
  <si>
    <t>School Psychologist</t>
  </si>
  <si>
    <t>School Nurse</t>
  </si>
  <si>
    <t>Gate Teacher</t>
  </si>
  <si>
    <t xml:space="preserve">     Total Admin &amp; Support</t>
  </si>
  <si>
    <t>Total # Teachers</t>
  </si>
  <si>
    <t>Total # Admin &amp; Support</t>
  </si>
  <si>
    <t>Total Staff</t>
  </si>
  <si>
    <t>Total Salaries &amp; Benefits as % of Expenses</t>
  </si>
  <si>
    <t>Instruction Salaries as % of Total Salaries</t>
  </si>
  <si>
    <t>Admin &amp; Support Salaries as % of Total Salaries</t>
  </si>
  <si>
    <t>Rent as % of Expenses</t>
  </si>
  <si>
    <t>REVENUE (@ 98.50%)</t>
  </si>
  <si>
    <t xml:space="preserve"> Budget Revenue</t>
  </si>
  <si>
    <t>National School Lunch Program (NSLP)</t>
  </si>
  <si>
    <t xml:space="preserve"> </t>
  </si>
  <si>
    <t>Special Ed Funding (Part B)</t>
  </si>
  <si>
    <t>SPED Discretionary Unit</t>
  </si>
  <si>
    <t>Other: Pre-Operational Loan</t>
  </si>
  <si>
    <t xml:space="preserve">Total Revenues </t>
  </si>
  <si>
    <t>Actual Revenue</t>
  </si>
  <si>
    <t>NSLP</t>
  </si>
  <si>
    <t xml:space="preserve"> Special Ed Funding (Part B)</t>
  </si>
  <si>
    <t xml:space="preserve">Other: </t>
  </si>
  <si>
    <t>Total Actual Revenues:</t>
  </si>
  <si>
    <t>EXPENSES</t>
  </si>
  <si>
    <t>Personnel Costs</t>
  </si>
  <si>
    <t>Assistant Principal(s)</t>
  </si>
  <si>
    <t>Counselor / Student Support Advocate/Dean</t>
  </si>
  <si>
    <t xml:space="preserve">Teachers Salaries </t>
  </si>
  <si>
    <t>Office Manager/ Registrar / Banker</t>
  </si>
  <si>
    <t>Secretary &amp; FASA</t>
  </si>
  <si>
    <t>Teacher Assistants (including SPED)</t>
  </si>
  <si>
    <t>Campus Monitors</t>
  </si>
  <si>
    <t xml:space="preserve">Unrestricted Salaries </t>
  </si>
  <si>
    <t>Restricted Salaries</t>
  </si>
  <si>
    <t>Cafeteria Manager</t>
  </si>
  <si>
    <t>NSLP Manager</t>
  </si>
  <si>
    <t>On Campus Sub</t>
  </si>
  <si>
    <t>Total Salaries and Wages</t>
  </si>
  <si>
    <t>PERS  - 29.25%</t>
  </si>
  <si>
    <t xml:space="preserve">Insurances/Employment Taxes/Other Benefits </t>
  </si>
  <si>
    <t>Incentives / Bonuses</t>
  </si>
  <si>
    <t>Tuition Reimbursements</t>
  </si>
  <si>
    <t>Subst. Teachers (10 days/Teacher)</t>
  </si>
  <si>
    <t>Total Payroll / Benefits and Related</t>
  </si>
  <si>
    <t>Operations</t>
  </si>
  <si>
    <t xml:space="preserve">Consumables </t>
  </si>
  <si>
    <t>Zion's FFE Lease - payments</t>
  </si>
  <si>
    <t>Office Supplies</t>
  </si>
  <si>
    <t>Classroom Supplies</t>
  </si>
  <si>
    <t>Copier Supplies</t>
  </si>
  <si>
    <t>Nursing Supplies</t>
  </si>
  <si>
    <t>SPED Supplies</t>
  </si>
  <si>
    <t>Athletics</t>
  </si>
  <si>
    <t>Dues and Fees</t>
  </si>
  <si>
    <t>Travel / Prof. Dev. / Recruiting</t>
  </si>
  <si>
    <t>Special Education Contracted Services</t>
  </si>
  <si>
    <t>Contracted Data Services</t>
  </si>
  <si>
    <t>Management Fee</t>
  </si>
  <si>
    <t>Payroll Services</t>
  </si>
  <si>
    <t>Audit/Tax</t>
  </si>
  <si>
    <t>Legal Fees</t>
  </si>
  <si>
    <t>IT Services - Monthly</t>
  </si>
  <si>
    <t>IT Set-up Fees</t>
  </si>
  <si>
    <t>Website</t>
  </si>
  <si>
    <t>Copier / Printing</t>
  </si>
  <si>
    <t>Infinite Campus</t>
  </si>
  <si>
    <t>State Administrative Fee (1.25%)</t>
  </si>
  <si>
    <t>Affiliation Fee - Inc. (1/2 of 1%)</t>
  </si>
  <si>
    <t>Affiliation Fee - Professional Development (1/2 of 1%)</t>
  </si>
  <si>
    <t>Phone and Communications (with E-rate discount)</t>
  </si>
  <si>
    <t>Postage</t>
  </si>
  <si>
    <t>Background and Fingerprinting</t>
  </si>
  <si>
    <t xml:space="preserve">Facility and School Insurances  </t>
  </si>
  <si>
    <t>Marketing/Advertising</t>
  </si>
  <si>
    <t>Loan Payments</t>
  </si>
  <si>
    <t>Other Purchases</t>
  </si>
  <si>
    <t>Total</t>
  </si>
  <si>
    <t>Facilities</t>
  </si>
  <si>
    <t>Public Utilities</t>
  </si>
  <si>
    <t>Fire and Security alarms</t>
  </si>
  <si>
    <t>Contracted Janitorial</t>
  </si>
  <si>
    <t>Custodial Supplies</t>
  </si>
  <si>
    <t>Facility Maintenance / Repairs / Capital Outlay</t>
  </si>
  <si>
    <t>Lawn Care</t>
  </si>
  <si>
    <t>AC Maintenance &amp; Repair</t>
  </si>
  <si>
    <t>Total Expenses</t>
  </si>
  <si>
    <t>Scheduled Lease Payment</t>
  </si>
  <si>
    <t>Anticipted Bond Payment</t>
  </si>
  <si>
    <t>Addition</t>
  </si>
  <si>
    <t>Surplus (Revenues-Total Expenses-Lease-Bond)</t>
  </si>
  <si>
    <t>Adjusted Net Income Available Before Lease and Debt Service</t>
  </si>
  <si>
    <t>Bond Payments</t>
  </si>
  <si>
    <t>Bond Payments 2019</t>
  </si>
  <si>
    <t xml:space="preserve">Annual Facility Lease Payments </t>
  </si>
  <si>
    <t>Total Lease Payments &amp; Net Debt Service</t>
  </si>
  <si>
    <t xml:space="preserve">Annual Debt Service Coverage </t>
  </si>
  <si>
    <t>Days Cash on Hand Calculation</t>
  </si>
  <si>
    <t xml:space="preserve">Projected Beginning Cash Balance </t>
  </si>
  <si>
    <t>Accounts Receivable</t>
  </si>
  <si>
    <t>Plus:  Operating Surplus</t>
  </si>
  <si>
    <t>Ending Cash Balance</t>
  </si>
  <si>
    <t>Projected Days Cash on Hand</t>
  </si>
  <si>
    <t>Personnel</t>
  </si>
  <si>
    <t>Benefits</t>
  </si>
  <si>
    <t>Contractual</t>
  </si>
  <si>
    <t>Contracted Services</t>
  </si>
  <si>
    <t>Equipment</t>
  </si>
  <si>
    <t>Supplies</t>
  </si>
  <si>
    <t>Facility</t>
  </si>
  <si>
    <t>Travel</t>
  </si>
  <si>
    <t>Accounting, Audit, &amp; Legal Fees</t>
  </si>
  <si>
    <t>Technology</t>
  </si>
  <si>
    <t>Other</t>
  </si>
  <si>
    <t xml:space="preserve">Attachment 21 </t>
  </si>
  <si>
    <t>Financial Workbook Y1 Cashflow</t>
  </si>
  <si>
    <t>Salaries</t>
  </si>
  <si>
    <t>Instructional Supplies</t>
  </si>
  <si>
    <t>Contracts</t>
  </si>
  <si>
    <t>Food Costs</t>
  </si>
  <si>
    <t>Lease/Mortgage</t>
  </si>
  <si>
    <t>Custodial</t>
  </si>
  <si>
    <t>Utilities</t>
  </si>
  <si>
    <t>CAM/Maintenance</t>
  </si>
  <si>
    <t>Campus Security</t>
  </si>
  <si>
    <t>FFE&amp;T</t>
  </si>
  <si>
    <t>Insurance</t>
  </si>
  <si>
    <t>Variance</t>
  </si>
  <si>
    <t>Year 1 Cash Flow Worksheet</t>
  </si>
  <si>
    <t>Mike Dang</t>
  </si>
  <si>
    <t>702.486.8879</t>
  </si>
  <si>
    <t>Fall</t>
  </si>
  <si>
    <t>School Operations Year 1</t>
  </si>
  <si>
    <t xml:space="preserve">Winter, Spring  </t>
  </si>
  <si>
    <t>(This is a year 1 budget.  It is not a pre-opening budget)</t>
  </si>
  <si>
    <t>Sponsorship Fee</t>
  </si>
  <si>
    <t>(Carry over totals and input to appropriate worksheets)</t>
  </si>
  <si>
    <t>From</t>
  </si>
  <si>
    <t>SY1 Ending</t>
  </si>
  <si>
    <t>Projected</t>
  </si>
  <si>
    <t>Enrol tab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</si>
  <si>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</si>
  <si>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</si>
  <si>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</si>
  <si>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</si>
  <si>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</si>
  <si>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</si>
  <si>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</si>
  <si>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</si>
  <si>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</si>
  <si>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</si>
  <si>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</si>
  <si>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</si>
  <si>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REVENUES</t>
  </si>
  <si>
    <t>Distributive School Acct</t>
  </si>
  <si>
    <t>DSA Sponsorship Fee</t>
  </si>
  <si>
    <t>Title I</t>
  </si>
  <si>
    <t>Title IIA</t>
  </si>
  <si>
    <t>Title III</t>
  </si>
  <si>
    <t>Federal Breakfast Program</t>
  </si>
  <si>
    <t>Federal Lunch Program</t>
  </si>
  <si>
    <t>IDEA</t>
  </si>
  <si>
    <t>State SPED Funding</t>
  </si>
  <si>
    <t>Charter Start up funds</t>
  </si>
  <si>
    <t>Other start-up grant funds</t>
  </si>
  <si>
    <t>School level fundraising</t>
  </si>
  <si>
    <t>Student Fees</t>
  </si>
  <si>
    <t>Investment Income</t>
  </si>
  <si>
    <t>Private Fundraising (w/Ltr of Support)</t>
  </si>
  <si>
    <t>Fundraising Donations (w/Ltr of Support)</t>
  </si>
  <si>
    <t>Total Revenues</t>
  </si>
  <si>
    <t>Total Revenues Y-T-D</t>
  </si>
  <si>
    <t>% Revenue YTD</t>
  </si>
  <si>
    <t>OPERATING EXPENDITURES &amp; OTHER CASH OUTLAYS</t>
  </si>
  <si>
    <t>Part-Time Wages</t>
  </si>
  <si>
    <t>Performance Bonuses</t>
  </si>
  <si>
    <t>Transportation</t>
  </si>
  <si>
    <t>Marketing</t>
  </si>
  <si>
    <t>Capital Outlay (TI)</t>
  </si>
  <si>
    <t>Security Deposits (Site Lease)</t>
  </si>
  <si>
    <t>Total Expenditures</t>
  </si>
  <si>
    <t>Net Change in cash from operations</t>
  </si>
  <si>
    <t>Total Expenses Y-T-D</t>
  </si>
  <si>
    <t>% Budget YTD</t>
  </si>
  <si>
    <t>YTD (Rev &gt; Exp)</t>
  </si>
  <si>
    <t>FINANCING ACTIVITIES</t>
  </si>
  <si>
    <t>Loans/Financing Acquired</t>
  </si>
  <si>
    <t>Loans/Financing Repaid</t>
  </si>
  <si>
    <t>Loan Balance</t>
  </si>
  <si>
    <t>Interest Expense (assumes 24% APR)</t>
  </si>
  <si>
    <t>Net change in cash from financing</t>
  </si>
  <si>
    <t>Projected Cash Balance Statement</t>
  </si>
  <si>
    <t>Net change in Cash (F/B)</t>
  </si>
  <si>
    <t>Begin Cash Balance(F/B)</t>
  </si>
  <si>
    <t>End Cash Balance (F/B)</t>
  </si>
  <si>
    <t>Cash/Expense X</t>
  </si>
  <si>
    <t>Percentage of Revenue</t>
  </si>
  <si>
    <t>Private Fundraising</t>
  </si>
  <si>
    <t>Fundraising Donations</t>
  </si>
  <si>
    <t xml:space="preserve">Total Revenue </t>
  </si>
  <si>
    <t>Percentage of Expense</t>
  </si>
  <si>
    <t>EXPENDITURES</t>
  </si>
  <si>
    <t>Food Service</t>
  </si>
  <si>
    <t>CAM</t>
  </si>
  <si>
    <t>Capital Outlay</t>
  </si>
  <si>
    <t>% of available cash at start of month</t>
  </si>
  <si>
    <t>% of available cash at end of month</t>
  </si>
  <si>
    <t>Benefits/Salaries Exp</t>
  </si>
  <si>
    <t># Employees</t>
  </si>
  <si>
    <t>Benefits/Employee</t>
  </si>
  <si>
    <t>Salaries/Employee</t>
  </si>
  <si>
    <t>DSA</t>
  </si>
  <si>
    <t>DSA Sponsor Fee</t>
  </si>
  <si>
    <t xml:space="preserve">IDEA </t>
  </si>
  <si>
    <t>Notes</t>
  </si>
  <si>
    <t>Total Revenue</t>
  </si>
  <si>
    <t xml:space="preserve">Net Income: </t>
  </si>
  <si>
    <t xml:space="preserve">Audit Fee not included in Year 1 on Attachement 21 as audit takes place in septemeber of the following school year. </t>
  </si>
  <si>
    <t>Financial Workbook calculation difference</t>
  </si>
  <si>
    <t>minor Financial Workbook calculation difference</t>
  </si>
  <si>
    <t>Attachment 21 includes a $2,000 cushion</t>
  </si>
  <si>
    <t xml:space="preserve">Licensing Fees </t>
  </si>
  <si>
    <t>included in 'Contracted SPED'</t>
  </si>
  <si>
    <t>Health Supplies</t>
  </si>
  <si>
    <t>Bank Fees</t>
  </si>
  <si>
    <t>Postage and Shipping</t>
  </si>
  <si>
    <t>Background checks</t>
  </si>
  <si>
    <t>Included in 'Licensing Fees '</t>
  </si>
  <si>
    <t>Dues and Memberships</t>
  </si>
  <si>
    <t xml:space="preserve">Office Supplies </t>
  </si>
  <si>
    <t>Travel and Meetings</t>
  </si>
  <si>
    <t>CIVICA Nevada</t>
  </si>
  <si>
    <t>REVENUE</t>
  </si>
  <si>
    <t xml:space="preserve">EXPENDITURES </t>
  </si>
  <si>
    <t>Distributive School Account</t>
  </si>
  <si>
    <t>Federal Lunch Program (NSLP)</t>
  </si>
  <si>
    <t>IDEA (Part B)</t>
  </si>
  <si>
    <r>
      <t xml:space="preserve">Projected
</t>
    </r>
    <r>
      <rPr>
        <b/>
        <sz val="11"/>
        <color theme="1"/>
        <rFont val="Calibri"/>
        <family val="2"/>
        <scheme val="minor"/>
      </rPr>
      <t>July</t>
    </r>
  </si>
  <si>
    <r>
      <t xml:space="preserve">Projected
</t>
    </r>
    <r>
      <rPr>
        <b/>
        <sz val="11"/>
        <color theme="1"/>
        <rFont val="Calibri"/>
        <family val="2"/>
        <scheme val="minor"/>
      </rPr>
      <t>August</t>
    </r>
  </si>
  <si>
    <r>
      <t xml:space="preserve">Projected
</t>
    </r>
    <r>
      <rPr>
        <b/>
        <sz val="11"/>
        <color theme="1"/>
        <rFont val="Calibri"/>
        <family val="2"/>
        <scheme val="minor"/>
      </rPr>
      <t>September</t>
    </r>
  </si>
  <si>
    <r>
      <t xml:space="preserve">Projected
</t>
    </r>
    <r>
      <rPr>
        <b/>
        <sz val="11"/>
        <color theme="1"/>
        <rFont val="Calibri"/>
        <family val="2"/>
        <scheme val="minor"/>
      </rPr>
      <t>October</t>
    </r>
  </si>
  <si>
    <r>
      <t xml:space="preserve">Projected
</t>
    </r>
    <r>
      <rPr>
        <b/>
        <sz val="11"/>
        <color theme="1"/>
        <rFont val="Calibri"/>
        <family val="2"/>
        <scheme val="minor"/>
      </rPr>
      <t>November</t>
    </r>
  </si>
  <si>
    <r>
      <t xml:space="preserve">Projected
</t>
    </r>
    <r>
      <rPr>
        <b/>
        <sz val="11"/>
        <color theme="1"/>
        <rFont val="Calibri"/>
        <family val="2"/>
        <scheme val="minor"/>
      </rPr>
      <t>December</t>
    </r>
  </si>
  <si>
    <r>
      <t xml:space="preserve">Projected
</t>
    </r>
    <r>
      <rPr>
        <b/>
        <sz val="11"/>
        <color theme="1"/>
        <rFont val="Calibri"/>
        <family val="2"/>
        <scheme val="minor"/>
      </rPr>
      <t>January</t>
    </r>
  </si>
  <si>
    <r>
      <t xml:space="preserve">Projected
</t>
    </r>
    <r>
      <rPr>
        <b/>
        <sz val="11"/>
        <color theme="1"/>
        <rFont val="Calibri"/>
        <family val="2"/>
        <scheme val="minor"/>
      </rPr>
      <t>February</t>
    </r>
  </si>
  <si>
    <r>
      <t xml:space="preserve">Projected
</t>
    </r>
    <r>
      <rPr>
        <b/>
        <sz val="11"/>
        <color theme="1"/>
        <rFont val="Calibri"/>
        <family val="2"/>
        <scheme val="minor"/>
      </rPr>
      <t>March</t>
    </r>
  </si>
  <si>
    <r>
      <t xml:space="preserve">Projected
</t>
    </r>
    <r>
      <rPr>
        <b/>
        <sz val="11"/>
        <color theme="1"/>
        <rFont val="Calibri"/>
        <family val="2"/>
        <scheme val="minor"/>
      </rPr>
      <t>April</t>
    </r>
  </si>
  <si>
    <r>
      <t xml:space="preserve">Projected
</t>
    </r>
    <r>
      <rPr>
        <b/>
        <sz val="11"/>
        <color theme="1"/>
        <rFont val="Calibri"/>
        <family val="2"/>
        <scheme val="minor"/>
      </rPr>
      <t>May</t>
    </r>
  </si>
  <si>
    <r>
      <t xml:space="preserve">Projected
</t>
    </r>
    <r>
      <rPr>
        <b/>
        <sz val="11"/>
        <color theme="1"/>
        <rFont val="Calibri"/>
        <family val="2"/>
        <scheme val="minor"/>
      </rPr>
      <t>June</t>
    </r>
  </si>
  <si>
    <r>
      <t xml:space="preserve">Projected
</t>
    </r>
    <r>
      <rPr>
        <b/>
        <sz val="11"/>
        <color theme="1"/>
        <rFont val="Calibri"/>
        <family val="2"/>
        <scheme val="minor"/>
      </rPr>
      <t xml:space="preserve">21-22 </t>
    </r>
  </si>
  <si>
    <r>
      <t xml:space="preserve">Year 1 Cash Flow Worksheet - </t>
    </r>
    <r>
      <rPr>
        <b/>
        <i/>
        <sz val="11"/>
        <color theme="1"/>
        <rFont val="Calibri"/>
        <family val="2"/>
        <scheme val="minor"/>
      </rPr>
      <t>ref. Attachment 21 - School Budget</t>
    </r>
  </si>
  <si>
    <t xml:space="preserve">YTD Revenue: </t>
  </si>
  <si>
    <t xml:space="preserve">Total Revenue: </t>
  </si>
  <si>
    <t>Rent</t>
  </si>
  <si>
    <t>Contracted Services SPED</t>
  </si>
  <si>
    <t>Contracts (EMO/Affiliate)</t>
  </si>
  <si>
    <t>Purchased Services</t>
  </si>
  <si>
    <t xml:space="preserve">Supplies </t>
  </si>
  <si>
    <t xml:space="preserve">Total Expenses: </t>
  </si>
  <si>
    <t xml:space="preserve">YTD Expenses: </t>
  </si>
  <si>
    <t>Fenderal Lunch Program (NSLP)</t>
  </si>
  <si>
    <t>Maintenance</t>
  </si>
  <si>
    <t xml:space="preserve">YTD Cash Balance: </t>
  </si>
  <si>
    <t xml:space="preserve">Net Cash Balance: </t>
  </si>
  <si>
    <r>
      <t xml:space="preserve">Gifts &amp; awards - faculty and Staff </t>
    </r>
    <r>
      <rPr>
        <i/>
        <sz val="10"/>
        <color rgb="FFFF0000"/>
        <rFont val="Calibri"/>
        <family val="2"/>
        <scheme val="minor"/>
      </rPr>
      <t>(no subs line included in financial workbook)</t>
    </r>
  </si>
  <si>
    <r>
      <t xml:space="preserve">School Store </t>
    </r>
    <r>
      <rPr>
        <i/>
        <sz val="10"/>
        <color rgb="FFFF0000"/>
        <rFont val="Calibri"/>
        <family val="2"/>
        <scheme val="minor"/>
      </rPr>
      <t>(no classroom supplies category included in financial workbook)</t>
    </r>
  </si>
  <si>
    <t>variance included in 'FFE&amp;T' line below</t>
  </si>
  <si>
    <t>variance included in A21 as 'Copier Supplies' above</t>
  </si>
  <si>
    <r>
      <t xml:space="preserve">included in 'Accounting Services' </t>
    </r>
    <r>
      <rPr>
        <i/>
        <sz val="10"/>
        <color rgb="FFFF0000"/>
        <rFont val="Calibri"/>
        <family val="2"/>
        <scheme val="minor"/>
      </rPr>
      <t xml:space="preserve"> (no category input for website in A16 - used due to calculation input in A16)</t>
    </r>
  </si>
  <si>
    <r>
      <t xml:space="preserve">included in 'Accounting Services'  </t>
    </r>
    <r>
      <rPr>
        <i/>
        <sz val="10"/>
        <color rgb="FFFF0000"/>
        <rFont val="Calibri"/>
        <family val="2"/>
        <scheme val="minor"/>
      </rPr>
      <t>(no category input for SiS software in A16 - used due to calculation input in A16)</t>
    </r>
  </si>
  <si>
    <r>
      <t>General Building decorum</t>
    </r>
    <r>
      <rPr>
        <i/>
        <sz val="10"/>
        <color rgb="FFFF0000"/>
        <rFont val="Calibri"/>
        <family val="2"/>
        <scheme val="minor"/>
      </rPr>
      <t xml:space="preserve"> (used due to calculation input in A16)</t>
    </r>
  </si>
  <si>
    <r>
      <t xml:space="preserve">General Office Supplies </t>
    </r>
    <r>
      <rPr>
        <i/>
        <sz val="10"/>
        <color rgb="FFFF0000"/>
        <rFont val="Calibri"/>
        <family val="2"/>
        <scheme val="minor"/>
      </rPr>
      <t>(used due to calculation input in A16)</t>
    </r>
  </si>
  <si>
    <r>
      <t>Supplies for students</t>
    </r>
    <r>
      <rPr>
        <i/>
        <sz val="10"/>
        <color rgb="FFFF0000"/>
        <rFont val="Calibri"/>
        <family val="2"/>
        <scheme val="minor"/>
      </rPr>
      <t xml:space="preserve"> (variance due to Y1 unable to be modified on A16)</t>
    </r>
  </si>
  <si>
    <r>
      <t>Financial Workbook Expense Categories used</t>
    </r>
    <r>
      <rPr>
        <i/>
        <sz val="11"/>
        <color rgb="FFFF0000"/>
        <rFont val="Calibri"/>
        <family val="2"/>
        <scheme val="minor"/>
      </rPr>
      <t xml:space="preserve"> (Refer to A16 for calculations on expense categories below)</t>
    </r>
  </si>
  <si>
    <r>
      <t xml:space="preserve">Contracted SPED </t>
    </r>
    <r>
      <rPr>
        <i/>
        <sz val="10"/>
        <color rgb="FFFF0000"/>
        <rFont val="Calibri"/>
        <family val="2"/>
        <scheme val="minor"/>
      </rPr>
      <t>(variance due to financial workbook calculation difference)</t>
    </r>
  </si>
  <si>
    <r>
      <t>Assessment Costs</t>
    </r>
    <r>
      <rPr>
        <i/>
        <sz val="10"/>
        <color rgb="FFFF0000"/>
        <rFont val="Calibri"/>
        <family val="2"/>
        <scheme val="minor"/>
      </rPr>
      <t>(used due to calculation input in A16)</t>
    </r>
  </si>
  <si>
    <r>
      <t xml:space="preserve">Accounting Services </t>
    </r>
    <r>
      <rPr>
        <i/>
        <sz val="10"/>
        <color rgb="FFFF0000"/>
        <rFont val="Calibri"/>
        <family val="2"/>
        <scheme val="minor"/>
      </rPr>
      <t>(used due to calculation input in A16)</t>
    </r>
  </si>
  <si>
    <r>
      <t xml:space="preserve">Athletic expenditures </t>
    </r>
    <r>
      <rPr>
        <i/>
        <sz val="10"/>
        <color rgb="FFFF0000"/>
        <rFont val="Calibri"/>
        <family val="2"/>
        <scheme val="minor"/>
      </rPr>
      <t>(Financial workbook calculation difference)</t>
    </r>
  </si>
  <si>
    <r>
      <t>Financial Workbook calculation differenc</t>
    </r>
    <r>
      <rPr>
        <sz val="11"/>
        <rFont val="Calibri"/>
        <family val="2"/>
        <scheme val="minor"/>
      </rPr>
      <t>e (unable to view calculation in workbook)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</si>
</sst>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_);_(* \(#,##0.0000\);_(* &quot;-&quot;??_);_(@_)"/>
    <numFmt numFmtId="167" formatCode="0.0%"/>
    <numFmt numFmtId="168" formatCode="_(&quot;$&quot;#,##0_);[Red]_(&quot;$&quot;\(#,##0\);_(&quot;$&quot;\ &quot;-&quot;_);_(@_)"/>
    <numFmt numFmtId="169" formatCode="_(#,##0_);[Red]_(\(#,##0\);_(&quot;-&quot;_);_(@_)"/>
    <numFmt numFmtId="170" formatCode="0%;[Red]\(0%\);&quot;-%&quot;"/>
    <numFmt numFmtId="171" formatCode="_(#,##0.0_);[Red]_(\(#,##0.0\);_(&quot;-&quot;_);_(@_)"/>
    <numFmt numFmtId="172" formatCode="0%;[Red]\(0\)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u/>
      <sz val="8.8000000000000007"/>
      <color theme="10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rgb="FF0000FF"/>
      <name val="Times New Roman"/>
      <family val="1"/>
    </font>
    <font>
      <b/>
      <i/>
      <sz val="10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18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7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36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/>
    <xf numFmtId="0" fontId="2" fillId="0" borderId="0" xfId="0" applyFont="1" applyFill="1" applyBorder="1" applyAlignment="1">
      <alignment horizontal="center"/>
    </xf>
    <xf numFmtId="0" fontId="5" fillId="0" borderId="1" xfId="2" applyNumberFormat="1" applyFont="1" applyFill="1" applyBorder="1" applyAlignment="1">
      <alignment horizontal="right"/>
    </xf>
    <xf numFmtId="164" fontId="5" fillId="0" borderId="3" xfId="2" applyNumberFormat="1" applyFont="1" applyFill="1" applyBorder="1"/>
    <xf numFmtId="0" fontId="5" fillId="0" borderId="4" xfId="2" applyNumberFormat="1" applyFont="1" applyFill="1" applyBorder="1" applyAlignment="1">
      <alignment horizontal="right"/>
    </xf>
    <xf numFmtId="165" fontId="5" fillId="0" borderId="5" xfId="0" applyNumberFormat="1" applyFont="1" applyBorder="1"/>
    <xf numFmtId="165" fontId="0" fillId="0" borderId="0" xfId="0" applyNumberFormat="1" applyFont="1"/>
    <xf numFmtId="0" fontId="2" fillId="0" borderId="0" xfId="0" applyFont="1" applyAlignment="1">
      <alignment horizontal="center" vertical="center"/>
    </xf>
    <xf numFmtId="0" fontId="5" fillId="0" borderId="6" xfId="0" applyFont="1" applyFill="1" applyBorder="1" applyAlignment="1">
      <alignment horizontal="right"/>
    </xf>
    <xf numFmtId="165" fontId="5" fillId="0" borderId="7" xfId="0" applyNumberFormat="1" applyFont="1" applyBorder="1"/>
    <xf numFmtId="43" fontId="0" fillId="0" borderId="0" xfId="0" applyNumberFormat="1" applyFont="1"/>
    <xf numFmtId="43" fontId="0" fillId="0" borderId="0" xfId="0" applyNumberFormat="1" applyFont="1" applyAlignment="1">
      <alignment horizontal="center"/>
    </xf>
    <xf numFmtId="165" fontId="0" fillId="0" borderId="0" xfId="1" applyNumberFormat="1" applyFont="1"/>
    <xf numFmtId="0" fontId="5" fillId="0" borderId="6" xfId="2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43" fontId="2" fillId="0" borderId="0" xfId="0" applyNumberFormat="1" applyFont="1"/>
    <xf numFmtId="165" fontId="5" fillId="0" borderId="7" xfId="1" applyNumberFormat="1" applyFont="1" applyBorder="1"/>
    <xf numFmtId="0" fontId="0" fillId="0" borderId="4" xfId="0" applyFont="1" applyFill="1" applyBorder="1" applyAlignment="1">
      <alignment horizontal="right"/>
    </xf>
    <xf numFmtId="165" fontId="5" fillId="0" borderId="5" xfId="1" applyNumberFormat="1" applyFont="1" applyBorder="1"/>
    <xf numFmtId="0" fontId="4" fillId="2" borderId="6" xfId="0" applyFont="1" applyFill="1" applyBorder="1"/>
    <xf numFmtId="3" fontId="4" fillId="2" borderId="7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66" fontId="0" fillId="0" borderId="0" xfId="0" applyNumberFormat="1" applyFont="1"/>
    <xf numFmtId="9" fontId="6" fillId="0" borderId="5" xfId="3" applyFont="1" applyBorder="1" applyAlignment="1">
      <alignment horizontal="right"/>
    </xf>
    <xf numFmtId="0" fontId="3" fillId="0" borderId="4" xfId="0" applyFont="1" applyBorder="1"/>
    <xf numFmtId="0" fontId="3" fillId="0" borderId="8" xfId="0" applyFont="1" applyBorder="1"/>
    <xf numFmtId="0" fontId="5" fillId="0" borderId="4" xfId="0" applyFont="1" applyFill="1" applyBorder="1" applyProtection="1">
      <protection locked="0"/>
    </xf>
    <xf numFmtId="37" fontId="5" fillId="0" borderId="5" xfId="0" applyNumberFormat="1" applyFont="1" applyFill="1" applyBorder="1" applyAlignment="1" applyProtection="1">
      <alignment horizontal="center" vertical="center"/>
      <protection locked="0"/>
    </xf>
    <xf numFmtId="1" fontId="5" fillId="0" borderId="5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/>
    <xf numFmtId="0" fontId="5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/>
    <xf numFmtId="2" fontId="4" fillId="0" borderId="7" xfId="0" applyNumberFormat="1" applyFont="1" applyFill="1" applyBorder="1" applyAlignment="1">
      <alignment horizontal="center"/>
    </xf>
    <xf numFmtId="0" fontId="4" fillId="0" borderId="4" xfId="0" applyFont="1" applyFill="1" applyBorder="1"/>
    <xf numFmtId="0" fontId="4" fillId="0" borderId="7" xfId="0" applyFont="1" applyFill="1" applyBorder="1"/>
    <xf numFmtId="0" fontId="5" fillId="0" borderId="4" xfId="0" applyFont="1" applyFill="1" applyBorder="1" applyAlignment="1" applyProtection="1">
      <alignment wrapText="1"/>
      <protection locked="0"/>
    </xf>
    <xf numFmtId="0" fontId="5" fillId="0" borderId="4" xfId="0" applyFont="1" applyFill="1" applyBorder="1"/>
    <xf numFmtId="0" fontId="7" fillId="0" borderId="4" xfId="0" applyFont="1" applyFill="1" applyBorder="1" applyProtection="1">
      <protection locked="0"/>
    </xf>
    <xf numFmtId="1" fontId="5" fillId="0" borderId="8" xfId="0" applyNumberFormat="1" applyFont="1" applyFill="1" applyBorder="1" applyAlignment="1" applyProtection="1">
      <alignment horizontal="center"/>
      <protection locked="0"/>
    </xf>
    <xf numFmtId="2" fontId="4" fillId="0" borderId="8" xfId="0" applyNumberFormat="1" applyFont="1" applyFill="1" applyBorder="1" applyAlignment="1">
      <alignment horizontal="center"/>
    </xf>
    <xf numFmtId="0" fontId="4" fillId="3" borderId="4" xfId="0" applyFont="1" applyFill="1" applyBorder="1"/>
    <xf numFmtId="0" fontId="5" fillId="3" borderId="7" xfId="0" applyFont="1" applyFill="1" applyBorder="1"/>
    <xf numFmtId="0" fontId="4" fillId="3" borderId="6" xfId="0" applyFont="1" applyFill="1" applyBorder="1"/>
    <xf numFmtId="2" fontId="5" fillId="3" borderId="7" xfId="0" applyNumberFormat="1" applyFont="1" applyFill="1" applyBorder="1" applyAlignment="1">
      <alignment horizontal="center"/>
    </xf>
    <xf numFmtId="0" fontId="4" fillId="3" borderId="9" xfId="0" applyFont="1" applyFill="1" applyBorder="1"/>
    <xf numFmtId="2" fontId="5" fillId="3" borderId="11" xfId="0" applyNumberFormat="1" applyFont="1" applyFill="1" applyBorder="1" applyAlignment="1">
      <alignment horizontal="center"/>
    </xf>
    <xf numFmtId="0" fontId="4" fillId="3" borderId="12" xfId="0" applyFont="1" applyFill="1" applyBorder="1"/>
    <xf numFmtId="2" fontId="5" fillId="3" borderId="13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4" fillId="0" borderId="12" xfId="0" applyFont="1" applyFill="1" applyBorder="1"/>
    <xf numFmtId="10" fontId="5" fillId="0" borderId="8" xfId="3" applyNumberFormat="1" applyFont="1" applyFill="1" applyBorder="1" applyAlignment="1">
      <alignment horizontal="center"/>
    </xf>
    <xf numFmtId="10" fontId="5" fillId="0" borderId="5" xfId="3" applyNumberFormat="1" applyFont="1" applyFill="1" applyBorder="1" applyAlignment="1">
      <alignment horizontal="center"/>
    </xf>
    <xf numFmtId="0" fontId="6" fillId="0" borderId="12" xfId="0" applyFont="1" applyFill="1" applyBorder="1"/>
    <xf numFmtId="0" fontId="5" fillId="0" borderId="8" xfId="0" applyFont="1" applyFill="1" applyBorder="1"/>
    <xf numFmtId="0" fontId="0" fillId="0" borderId="4" xfId="0" applyFont="1" applyBorder="1"/>
    <xf numFmtId="0" fontId="5" fillId="0" borderId="5" xfId="0" applyFont="1" applyBorder="1"/>
    <xf numFmtId="0" fontId="5" fillId="0" borderId="8" xfId="0" applyFont="1" applyFill="1" applyBorder="1" applyAlignment="1">
      <alignment horizontal="right"/>
    </xf>
    <xf numFmtId="0" fontId="5" fillId="0" borderId="14" xfId="0" applyFont="1" applyFill="1" applyBorder="1"/>
    <xf numFmtId="165" fontId="5" fillId="0" borderId="5" xfId="1" applyNumberFormat="1" applyFont="1" applyFill="1" applyBorder="1"/>
    <xf numFmtId="165" fontId="5" fillId="0" borderId="0" xfId="1" applyNumberFormat="1" applyFont="1" applyFill="1" applyBorder="1"/>
    <xf numFmtId="0" fontId="5" fillId="0" borderId="12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8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4" fillId="4" borderId="4" xfId="0" applyFont="1" applyFill="1" applyBorder="1"/>
    <xf numFmtId="165" fontId="4" fillId="4" borderId="5" xfId="1" applyNumberFormat="1" applyFont="1" applyFill="1" applyBorder="1"/>
    <xf numFmtId="165" fontId="5" fillId="4" borderId="5" xfId="1" applyNumberFormat="1" applyFont="1" applyFill="1" applyBorder="1"/>
    <xf numFmtId="0" fontId="4" fillId="4" borderId="6" xfId="0" applyFont="1" applyFill="1" applyBorder="1" applyAlignment="1">
      <alignment horizontal="right"/>
    </xf>
    <xf numFmtId="165" fontId="4" fillId="4" borderId="7" xfId="1" applyNumberFormat="1" applyFont="1" applyFill="1" applyBorder="1"/>
    <xf numFmtId="0" fontId="8" fillId="0" borderId="6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5" fillId="0" borderId="11" xfId="0" applyFont="1" applyBorder="1"/>
    <xf numFmtId="0" fontId="8" fillId="0" borderId="15" xfId="0" applyFont="1" applyFill="1" applyBorder="1"/>
    <xf numFmtId="165" fontId="5" fillId="0" borderId="11" xfId="0" applyNumberFormat="1" applyFont="1" applyBorder="1"/>
    <xf numFmtId="0" fontId="8" fillId="0" borderId="4" xfId="0" applyFont="1" applyFill="1" applyBorder="1"/>
    <xf numFmtId="0" fontId="0" fillId="0" borderId="1" xfId="0" applyFont="1" applyBorder="1"/>
    <xf numFmtId="0" fontId="8" fillId="0" borderId="4" xfId="0" applyFont="1" applyBorder="1"/>
    <xf numFmtId="0" fontId="0" fillId="0" borderId="16" xfId="0" applyFont="1" applyBorder="1"/>
    <xf numFmtId="0" fontId="8" fillId="0" borderId="4" xfId="0" applyFont="1" applyBorder="1" applyAlignment="1">
      <alignment wrapText="1"/>
    </xf>
    <xf numFmtId="167" fontId="5" fillId="0" borderId="0" xfId="3" applyNumberFormat="1" applyFont="1" applyBorder="1"/>
    <xf numFmtId="0" fontId="2" fillId="0" borderId="0" xfId="0" applyFont="1" applyBorder="1" applyAlignment="1">
      <alignment horizontal="center"/>
    </xf>
    <xf numFmtId="0" fontId="2" fillId="5" borderId="17" xfId="0" applyFont="1" applyFill="1" applyBorder="1"/>
    <xf numFmtId="165" fontId="5" fillId="5" borderId="17" xfId="0" applyNumberFormat="1" applyFont="1" applyFill="1" applyBorder="1"/>
    <xf numFmtId="0" fontId="0" fillId="0" borderId="0" xfId="0" applyFont="1" applyFill="1"/>
    <xf numFmtId="0" fontId="0" fillId="0" borderId="0" xfId="0" applyFont="1" applyBorder="1"/>
    <xf numFmtId="165" fontId="5" fillId="0" borderId="0" xfId="1" applyNumberFormat="1" applyFont="1" applyBorder="1"/>
    <xf numFmtId="0" fontId="0" fillId="0" borderId="0" xfId="0" applyFont="1" applyFill="1" applyBorder="1"/>
    <xf numFmtId="0" fontId="2" fillId="6" borderId="17" xfId="0" applyFont="1" applyFill="1" applyBorder="1"/>
    <xf numFmtId="165" fontId="5" fillId="6" borderId="17" xfId="1" applyNumberFormat="1" applyFont="1" applyFill="1" applyBorder="1"/>
    <xf numFmtId="43" fontId="4" fillId="5" borderId="17" xfId="1" applyFont="1" applyFill="1" applyBorder="1"/>
    <xf numFmtId="0" fontId="2" fillId="7" borderId="17" xfId="0" applyFont="1" applyFill="1" applyBorder="1" applyAlignment="1"/>
    <xf numFmtId="41" fontId="5" fillId="8" borderId="0" xfId="0" applyNumberFormat="1" applyFont="1" applyFill="1" applyBorder="1"/>
    <xf numFmtId="41" fontId="5" fillId="9" borderId="0" xfId="0" applyNumberFormat="1" applyFont="1" applyFill="1" applyBorder="1"/>
    <xf numFmtId="0" fontId="5" fillId="0" borderId="0" xfId="0" applyFont="1" applyBorder="1"/>
    <xf numFmtId="0" fontId="1" fillId="7" borderId="17" xfId="0" applyFont="1" applyFill="1" applyBorder="1"/>
    <xf numFmtId="165" fontId="9" fillId="7" borderId="17" xfId="1" applyNumberFormat="1" applyFont="1" applyFill="1" applyBorder="1"/>
    <xf numFmtId="0" fontId="0" fillId="0" borderId="0" xfId="0" applyAlignment="1">
      <alignment horizontal="right"/>
    </xf>
    <xf numFmtId="10" fontId="0" fillId="0" borderId="0" xfId="3" applyNumberFormat="1" applyFont="1"/>
    <xf numFmtId="10" fontId="0" fillId="0" borderId="0" xfId="0" applyNumberFormat="1" applyFont="1"/>
    <xf numFmtId="10" fontId="0" fillId="0" borderId="0" xfId="0" applyNumberFormat="1"/>
    <xf numFmtId="44" fontId="0" fillId="0" borderId="0" xfId="2" applyFont="1"/>
    <xf numFmtId="165" fontId="5" fillId="10" borderId="5" xfId="1" applyNumberFormat="1" applyFont="1" applyFill="1" applyBorder="1"/>
    <xf numFmtId="165" fontId="5" fillId="11" borderId="5" xfId="1" applyNumberFormat="1" applyFont="1" applyFill="1" applyBorder="1"/>
    <xf numFmtId="165" fontId="5" fillId="12" borderId="5" xfId="1" applyNumberFormat="1" applyFont="1" applyFill="1" applyBorder="1"/>
    <xf numFmtId="165" fontId="4" fillId="13" borderId="7" xfId="1" applyNumberFormat="1" applyFont="1" applyFill="1" applyBorder="1"/>
    <xf numFmtId="165" fontId="5" fillId="14" borderId="5" xfId="1" applyNumberFormat="1" applyFont="1" applyFill="1" applyBorder="1"/>
    <xf numFmtId="165" fontId="5" fillId="15" borderId="5" xfId="1" applyNumberFormat="1" applyFont="1" applyFill="1" applyBorder="1"/>
    <xf numFmtId="165" fontId="5" fillId="16" borderId="5" xfId="1" applyNumberFormat="1" applyFont="1" applyFill="1" applyBorder="1"/>
    <xf numFmtId="165" fontId="5" fillId="17" borderId="5" xfId="1" applyNumberFormat="1" applyFont="1" applyFill="1" applyBorder="1"/>
    <xf numFmtId="165" fontId="5" fillId="18" borderId="5" xfId="1" applyNumberFormat="1" applyFont="1" applyFill="1" applyBorder="1"/>
    <xf numFmtId="165" fontId="5" fillId="19" borderId="5" xfId="1" applyNumberFormat="1" applyFont="1" applyFill="1" applyBorder="1"/>
    <xf numFmtId="165" fontId="5" fillId="20" borderId="5" xfId="1" applyNumberFormat="1" applyFont="1" applyFill="1" applyBorder="1"/>
    <xf numFmtId="0" fontId="12" fillId="21" borderId="0" xfId="0" applyFont="1" applyFill="1" applyProtection="1"/>
    <xf numFmtId="0" fontId="13" fillId="21" borderId="0" xfId="0" applyFont="1" applyFill="1" applyProtection="1"/>
    <xf numFmtId="0" fontId="14" fillId="0" borderId="0" xfId="0" applyFont="1" applyProtection="1"/>
    <xf numFmtId="0" fontId="15" fillId="0" borderId="0" xfId="0" applyFont="1" applyProtection="1"/>
    <xf numFmtId="0" fontId="16" fillId="0" borderId="0" xfId="0" applyFont="1"/>
    <xf numFmtId="0" fontId="18" fillId="0" borderId="0" xfId="4" applyFont="1"/>
    <xf numFmtId="0" fontId="14" fillId="0" borderId="0" xfId="0" applyFont="1"/>
    <xf numFmtId="0" fontId="19" fillId="22" borderId="0" xfId="0" applyFont="1" applyFill="1" applyProtection="1"/>
    <xf numFmtId="0" fontId="13" fillId="22" borderId="0" xfId="0" applyFont="1" applyFill="1" applyProtection="1"/>
    <xf numFmtId="0" fontId="18" fillId="0" borderId="0" xfId="0" applyFont="1" applyProtection="1"/>
    <xf numFmtId="0" fontId="20" fillId="0" borderId="0" xfId="0" applyFont="1" applyProtection="1"/>
    <xf numFmtId="0" fontId="21" fillId="0" borderId="0" xfId="0" applyFont="1" applyProtection="1"/>
    <xf numFmtId="0" fontId="14" fillId="0" borderId="0" xfId="0" applyFont="1" applyBorder="1" applyProtection="1"/>
    <xf numFmtId="0" fontId="20" fillId="0" borderId="0" xfId="5" applyFont="1" applyFill="1" applyBorder="1" applyAlignment="1" applyProtection="1">
      <alignment horizontal="right" wrapText="1"/>
    </xf>
    <xf numFmtId="0" fontId="18" fillId="0" borderId="0" xfId="6" applyFont="1" applyAlignment="1" applyProtection="1">
      <alignment horizontal="center"/>
    </xf>
    <xf numFmtId="0" fontId="23" fillId="0" borderId="0" xfId="0" applyFont="1" applyProtection="1"/>
    <xf numFmtId="0" fontId="24" fillId="0" borderId="0" xfId="6" applyFont="1" applyProtection="1"/>
    <xf numFmtId="0" fontId="20" fillId="0" borderId="0" xfId="5" applyFont="1" applyBorder="1" applyAlignment="1" applyProtection="1">
      <alignment horizontal="right" wrapText="1"/>
    </xf>
    <xf numFmtId="0" fontId="25" fillId="0" borderId="0" xfId="0" applyFont="1" applyProtection="1"/>
    <xf numFmtId="44" fontId="16" fillId="0" borderId="0" xfId="7" applyFont="1" applyAlignment="1" applyProtection="1">
      <alignment horizontal="center"/>
    </xf>
    <xf numFmtId="10" fontId="26" fillId="0" borderId="0" xfId="6" applyNumberFormat="1" applyFont="1" applyFill="1" applyAlignment="1" applyProtection="1">
      <alignment horizontal="center"/>
    </xf>
    <xf numFmtId="44" fontId="18" fillId="0" borderId="0" xfId="7" applyFont="1" applyProtection="1"/>
    <xf numFmtId="0" fontId="18" fillId="0" borderId="2" xfId="6" applyFont="1" applyBorder="1" applyAlignment="1" applyProtection="1">
      <alignment horizontal="center" wrapText="1"/>
    </xf>
    <xf numFmtId="44" fontId="24" fillId="0" borderId="2" xfId="7" applyFont="1" applyBorder="1" applyAlignment="1" applyProtection="1">
      <alignment horizontal="center"/>
    </xf>
    <xf numFmtId="44" fontId="24" fillId="23" borderId="2" xfId="7" applyFont="1" applyFill="1" applyBorder="1" applyAlignment="1" applyProtection="1">
      <alignment horizontal="center"/>
    </xf>
    <xf numFmtId="0" fontId="18" fillId="0" borderId="0" xfId="6" applyFont="1" applyProtection="1"/>
    <xf numFmtId="0" fontId="18" fillId="0" borderId="10" xfId="6" applyFont="1" applyFill="1" applyBorder="1" applyAlignment="1" applyProtection="1">
      <alignment horizontal="center" wrapText="1"/>
    </xf>
    <xf numFmtId="0" fontId="18" fillId="0" borderId="10" xfId="6" quotePrefix="1" applyFont="1" applyBorder="1" applyAlignment="1" applyProtection="1">
      <alignment horizontal="center" wrapText="1"/>
    </xf>
    <xf numFmtId="0" fontId="18" fillId="0" borderId="10" xfId="6" applyFont="1" applyBorder="1" applyAlignment="1" applyProtection="1">
      <alignment horizontal="center" wrapText="1"/>
    </xf>
    <xf numFmtId="44" fontId="18" fillId="0" borderId="10" xfId="7" applyFont="1" applyBorder="1" applyAlignment="1" applyProtection="1">
      <alignment horizontal="center"/>
    </xf>
    <xf numFmtId="44" fontId="18" fillId="23" borderId="10" xfId="7" applyFont="1" applyFill="1" applyBorder="1" applyAlignment="1" applyProtection="1">
      <alignment horizontal="center"/>
    </xf>
    <xf numFmtId="0" fontId="18" fillId="24" borderId="0" xfId="6" applyFont="1" applyFill="1" applyProtection="1"/>
    <xf numFmtId="0" fontId="18" fillId="24" borderId="18" xfId="6" applyFont="1" applyFill="1" applyBorder="1" applyAlignment="1" applyProtection="1">
      <alignment horizontal="center" wrapText="1"/>
    </xf>
    <xf numFmtId="44" fontId="18" fillId="24" borderId="19" xfId="7" applyFont="1" applyFill="1" applyBorder="1" applyAlignment="1" applyProtection="1">
      <alignment horizontal="center"/>
    </xf>
    <xf numFmtId="44" fontId="18" fillId="24" borderId="18" xfId="7" applyFont="1" applyFill="1" applyBorder="1" applyAlignment="1" applyProtection="1">
      <alignment horizontal="center"/>
    </xf>
    <xf numFmtId="0" fontId="24" fillId="0" borderId="0" xfId="6" applyFont="1" applyFill="1" applyProtection="1"/>
    <xf numFmtId="168" fontId="24" fillId="0" borderId="0" xfId="6" applyNumberFormat="1" applyFont="1" applyFill="1" applyProtection="1"/>
    <xf numFmtId="168" fontId="24" fillId="0" borderId="20" xfId="6" applyNumberFormat="1" applyFont="1" applyBorder="1" applyProtection="1"/>
    <xf numFmtId="168" fontId="27" fillId="25" borderId="20" xfId="7" applyNumberFormat="1" applyFont="1" applyFill="1" applyBorder="1" applyProtection="1">
      <protection locked="0"/>
    </xf>
    <xf numFmtId="168" fontId="27" fillId="25" borderId="21" xfId="7" applyNumberFormat="1" applyFont="1" applyFill="1" applyBorder="1" applyProtection="1">
      <protection locked="0"/>
    </xf>
    <xf numFmtId="169" fontId="24" fillId="0" borderId="0" xfId="6" applyNumberFormat="1" applyFont="1" applyFill="1" applyProtection="1"/>
    <xf numFmtId="169" fontId="24" fillId="0" borderId="20" xfId="6" applyNumberFormat="1" applyFont="1" applyBorder="1" applyProtection="1"/>
    <xf numFmtId="169" fontId="27" fillId="25" borderId="20" xfId="7" applyNumberFormat="1" applyFont="1" applyFill="1" applyBorder="1" applyProtection="1">
      <protection locked="0"/>
    </xf>
    <xf numFmtId="169" fontId="27" fillId="25" borderId="21" xfId="7" applyNumberFormat="1" applyFont="1" applyFill="1" applyBorder="1" applyProtection="1">
      <protection locked="0"/>
    </xf>
    <xf numFmtId="0" fontId="24" fillId="0" borderId="0" xfId="6" applyFont="1" applyFill="1" applyBorder="1" applyProtection="1"/>
    <xf numFmtId="169" fontId="27" fillId="25" borderId="20" xfId="7" applyNumberFormat="1" applyFont="1" applyFill="1" applyBorder="1" applyAlignment="1" applyProtection="1">
      <protection locked="0"/>
    </xf>
    <xf numFmtId="169" fontId="27" fillId="25" borderId="21" xfId="7" applyNumberFormat="1" applyFont="1" applyFill="1" applyBorder="1" applyAlignment="1" applyProtection="1">
      <protection locked="0"/>
    </xf>
    <xf numFmtId="169" fontId="24" fillId="0" borderId="0" xfId="6" applyNumberFormat="1" applyFont="1" applyProtection="1"/>
    <xf numFmtId="169" fontId="27" fillId="25" borderId="22" xfId="7" applyNumberFormat="1" applyFont="1" applyFill="1" applyBorder="1" applyAlignment="1" applyProtection="1">
      <protection locked="0"/>
    </xf>
    <xf numFmtId="169" fontId="27" fillId="25" borderId="23" xfId="7" applyNumberFormat="1" applyFont="1" applyFill="1" applyBorder="1" applyProtection="1">
      <protection locked="0"/>
    </xf>
    <xf numFmtId="168" fontId="18" fillId="0" borderId="24" xfId="7" applyNumberFormat="1" applyFont="1" applyBorder="1" applyAlignment="1" applyProtection="1">
      <alignment horizontal="right"/>
    </xf>
    <xf numFmtId="169" fontId="18" fillId="0" borderId="25" xfId="6" applyNumberFormat="1" applyFont="1" applyBorder="1" applyProtection="1"/>
    <xf numFmtId="169" fontId="28" fillId="0" borderId="0" xfId="6" quotePrefix="1" applyNumberFormat="1" applyFont="1" applyAlignment="1" applyProtection="1">
      <alignment horizontal="center"/>
    </xf>
    <xf numFmtId="38" fontId="24" fillId="0" borderId="26" xfId="7" applyNumberFormat="1" applyFont="1" applyBorder="1" applyProtection="1"/>
    <xf numFmtId="169" fontId="24" fillId="0" borderId="27" xfId="7" applyNumberFormat="1" applyFont="1" applyBorder="1" applyProtection="1"/>
    <xf numFmtId="9" fontId="18" fillId="0" borderId="0" xfId="8" applyFont="1" applyProtection="1"/>
    <xf numFmtId="169" fontId="18" fillId="0" borderId="0" xfId="8" quotePrefix="1" applyNumberFormat="1" applyFont="1" applyAlignment="1" applyProtection="1">
      <alignment horizontal="center"/>
    </xf>
    <xf numFmtId="0" fontId="24" fillId="0" borderId="20" xfId="6" applyFont="1" applyBorder="1" applyProtection="1"/>
    <xf numFmtId="170" fontId="18" fillId="0" borderId="22" xfId="8" applyNumberFormat="1" applyFont="1" applyBorder="1" applyProtection="1"/>
    <xf numFmtId="170" fontId="18" fillId="0" borderId="28" xfId="8" applyNumberFormat="1" applyFont="1" applyBorder="1" applyProtection="1"/>
    <xf numFmtId="44" fontId="24" fillId="0" borderId="20" xfId="7" applyFont="1" applyBorder="1" applyAlignment="1" applyProtection="1"/>
    <xf numFmtId="44" fontId="24" fillId="0" borderId="21" xfId="7" applyFont="1" applyBorder="1" applyAlignment="1" applyProtection="1">
      <alignment horizontal="right"/>
    </xf>
    <xf numFmtId="44" fontId="24" fillId="0" borderId="21" xfId="7" applyFont="1" applyBorder="1" applyAlignment="1" applyProtection="1"/>
    <xf numFmtId="0" fontId="18" fillId="26" borderId="0" xfId="6" applyFont="1" applyFill="1" applyProtection="1"/>
    <xf numFmtId="0" fontId="24" fillId="26" borderId="20" xfId="6" applyFont="1" applyFill="1" applyBorder="1" applyProtection="1"/>
    <xf numFmtId="44" fontId="24" fillId="26" borderId="20" xfId="7" applyFont="1" applyFill="1" applyBorder="1" applyProtection="1"/>
    <xf numFmtId="44" fontId="24" fillId="26" borderId="21" xfId="7" applyFont="1" applyFill="1" applyBorder="1" applyProtection="1"/>
    <xf numFmtId="168" fontId="24" fillId="0" borderId="0" xfId="6" applyNumberFormat="1" applyFont="1" applyProtection="1"/>
    <xf numFmtId="0" fontId="24" fillId="0" borderId="0" xfId="0" applyFont="1" applyFill="1" applyProtection="1"/>
    <xf numFmtId="0" fontId="14" fillId="0" borderId="0" xfId="0" applyFont="1" applyFill="1" applyProtection="1"/>
    <xf numFmtId="169" fontId="27" fillId="25" borderId="18" xfId="7" applyNumberFormat="1" applyFont="1" applyFill="1" applyBorder="1" applyProtection="1">
      <protection locked="0"/>
    </xf>
    <xf numFmtId="168" fontId="18" fillId="0" borderId="29" xfId="6" applyNumberFormat="1" applyFont="1" applyBorder="1" applyProtection="1"/>
    <xf numFmtId="168" fontId="18" fillId="0" borderId="30" xfId="7" applyNumberFormat="1" applyFont="1" applyBorder="1" applyProtection="1"/>
    <xf numFmtId="168" fontId="18" fillId="0" borderId="25" xfId="7" applyNumberFormat="1" applyFont="1" applyBorder="1" applyProtection="1"/>
    <xf numFmtId="0" fontId="29" fillId="0" borderId="0" xfId="0" applyFont="1" applyProtection="1"/>
    <xf numFmtId="169" fontId="14" fillId="0" borderId="0" xfId="0" applyNumberFormat="1" applyFont="1" applyProtection="1"/>
    <xf numFmtId="168" fontId="14" fillId="0" borderId="0" xfId="0" applyNumberFormat="1" applyFont="1" applyProtection="1"/>
    <xf numFmtId="38" fontId="24" fillId="0" borderId="31" xfId="6" applyNumberFormat="1" applyFont="1" applyFill="1" applyBorder="1" applyProtection="1"/>
    <xf numFmtId="169" fontId="24" fillId="0" borderId="31" xfId="7" applyNumberFormat="1" applyFont="1" applyBorder="1" applyProtection="1"/>
    <xf numFmtId="9" fontId="24" fillId="0" borderId="22" xfId="8" applyFont="1" applyBorder="1" applyProtection="1"/>
    <xf numFmtId="44" fontId="24" fillId="0" borderId="0" xfId="6" applyNumberFormat="1" applyFont="1" applyFill="1" applyBorder="1" applyProtection="1"/>
    <xf numFmtId="171" fontId="24" fillId="0" borderId="0" xfId="6" applyNumberFormat="1" applyFont="1" applyProtection="1"/>
    <xf numFmtId="0" fontId="18" fillId="27" borderId="0" xfId="6" applyFont="1" applyFill="1" applyProtection="1"/>
    <xf numFmtId="44" fontId="24" fillId="27" borderId="0" xfId="6" applyNumberFormat="1" applyFont="1" applyFill="1" applyBorder="1" applyProtection="1"/>
    <xf numFmtId="171" fontId="24" fillId="27" borderId="0" xfId="6" applyNumberFormat="1" applyFont="1" applyFill="1" applyProtection="1"/>
    <xf numFmtId="0" fontId="18" fillId="0" borderId="2" xfId="6" applyFont="1" applyFill="1" applyBorder="1" applyAlignment="1" applyProtection="1">
      <alignment horizontal="center" wrapText="1"/>
    </xf>
    <xf numFmtId="44" fontId="24" fillId="0" borderId="2" xfId="7" applyFont="1" applyFill="1" applyBorder="1" applyAlignment="1" applyProtection="1">
      <alignment horizontal="center"/>
    </xf>
    <xf numFmtId="44" fontId="18" fillId="0" borderId="10" xfId="7" applyFont="1" applyFill="1" applyBorder="1" applyAlignment="1" applyProtection="1">
      <alignment horizontal="center"/>
    </xf>
    <xf numFmtId="44" fontId="24" fillId="0" borderId="32" xfId="6" applyNumberFormat="1" applyFont="1" applyFill="1" applyBorder="1" applyProtection="1"/>
    <xf numFmtId="169" fontId="27" fillId="25" borderId="32" xfId="6" applyNumberFormat="1" applyFont="1" applyFill="1" applyBorder="1" applyProtection="1"/>
    <xf numFmtId="44" fontId="24" fillId="0" borderId="33" xfId="6" applyNumberFormat="1" applyFont="1" applyFill="1" applyBorder="1" applyProtection="1"/>
    <xf numFmtId="169" fontId="27" fillId="25" borderId="33" xfId="6" applyNumberFormat="1" applyFont="1" applyFill="1" applyBorder="1" applyProtection="1"/>
    <xf numFmtId="44" fontId="24" fillId="0" borderId="34" xfId="6" applyNumberFormat="1" applyFont="1" applyFill="1" applyBorder="1" applyProtection="1"/>
    <xf numFmtId="169" fontId="24" fillId="0" borderId="34" xfId="6" applyNumberFormat="1" applyFont="1" applyBorder="1" applyProtection="1"/>
    <xf numFmtId="44" fontId="24" fillId="0" borderId="35" xfId="6" applyNumberFormat="1" applyFont="1" applyFill="1" applyBorder="1" applyProtection="1"/>
    <xf numFmtId="171" fontId="24" fillId="0" borderId="35" xfId="6" applyNumberFormat="1" applyFont="1" applyBorder="1" applyProtection="1"/>
    <xf numFmtId="169" fontId="24" fillId="0" borderId="35" xfId="6" applyNumberFormat="1" applyFont="1" applyBorder="1" applyProtection="1"/>
    <xf numFmtId="0" fontId="16" fillId="0" borderId="0" xfId="6" applyFont="1" applyAlignment="1" applyProtection="1">
      <alignment horizontal="left"/>
    </xf>
    <xf numFmtId="0" fontId="16" fillId="0" borderId="0" xfId="6" applyFont="1" applyAlignment="1" applyProtection="1">
      <alignment horizontal="center"/>
    </xf>
    <xf numFmtId="44" fontId="24" fillId="0" borderId="36" xfId="6" applyNumberFormat="1" applyFont="1" applyBorder="1" applyProtection="1"/>
    <xf numFmtId="44" fontId="24" fillId="0" borderId="36" xfId="7" applyFont="1" applyBorder="1" applyProtection="1"/>
    <xf numFmtId="38" fontId="24" fillId="0" borderId="20" xfId="7" applyNumberFormat="1" applyFont="1" applyBorder="1" applyProtection="1"/>
    <xf numFmtId="38" fontId="24" fillId="0" borderId="21" xfId="7" applyNumberFormat="1" applyFont="1" applyBorder="1" applyProtection="1"/>
    <xf numFmtId="38" fontId="24" fillId="0" borderId="34" xfId="7" applyNumberFormat="1" applyFont="1" applyBorder="1" applyProtection="1"/>
    <xf numFmtId="38" fontId="24" fillId="0" borderId="20" xfId="6" applyNumberFormat="1" applyFont="1" applyBorder="1" applyProtection="1"/>
    <xf numFmtId="38" fontId="24" fillId="22" borderId="20" xfId="7" applyNumberFormat="1" applyFont="1" applyFill="1" applyBorder="1" applyProtection="1"/>
    <xf numFmtId="38" fontId="27" fillId="25" borderId="21" xfId="7" applyNumberFormat="1" applyFont="1" applyFill="1" applyBorder="1" applyProtection="1">
      <protection locked="0"/>
    </xf>
    <xf numFmtId="38" fontId="24" fillId="0" borderId="22" xfId="6" applyNumberFormat="1" applyFont="1" applyBorder="1" applyProtection="1"/>
    <xf numFmtId="38" fontId="24" fillId="0" borderId="23" xfId="7" applyNumberFormat="1" applyFont="1" applyBorder="1" applyProtection="1"/>
    <xf numFmtId="38" fontId="24" fillId="0" borderId="22" xfId="7" applyNumberFormat="1" applyFont="1" applyBorder="1" applyProtection="1"/>
    <xf numFmtId="38" fontId="18" fillId="0" borderId="25" xfId="7" applyNumberFormat="1" applyFont="1" applyBorder="1" applyProtection="1"/>
    <xf numFmtId="44" fontId="18" fillId="0" borderId="0" xfId="7" applyFont="1" applyBorder="1" applyProtection="1"/>
    <xf numFmtId="0" fontId="18" fillId="28" borderId="0" xfId="6" applyFont="1" applyFill="1" applyProtection="1"/>
    <xf numFmtId="44" fontId="18" fillId="28" borderId="0" xfId="7" applyFont="1" applyFill="1" applyBorder="1" applyProtection="1"/>
    <xf numFmtId="171" fontId="18" fillId="28" borderId="0" xfId="7" applyNumberFormat="1" applyFont="1" applyFill="1" applyBorder="1" applyProtection="1"/>
    <xf numFmtId="0" fontId="18" fillId="24" borderId="0" xfId="6" applyFont="1" applyFill="1" applyBorder="1" applyProtection="1"/>
    <xf numFmtId="0" fontId="18" fillId="24" borderId="0" xfId="6" applyFont="1" applyFill="1" applyBorder="1" applyAlignment="1" applyProtection="1">
      <alignment horizontal="center" wrapText="1"/>
    </xf>
    <xf numFmtId="44" fontId="18" fillId="24" borderId="0" xfId="7" applyFont="1" applyFill="1" applyBorder="1" applyAlignment="1" applyProtection="1">
      <alignment horizontal="center"/>
    </xf>
    <xf numFmtId="170" fontId="24" fillId="0" borderId="21" xfId="7" applyNumberFormat="1" applyFont="1" applyFill="1" applyBorder="1" applyProtection="1">
      <protection locked="0"/>
    </xf>
    <xf numFmtId="170" fontId="24" fillId="0" borderId="20" xfId="7" applyNumberFormat="1" applyFont="1" applyFill="1" applyBorder="1" applyProtection="1">
      <protection locked="0"/>
    </xf>
    <xf numFmtId="170" fontId="24" fillId="0" borderId="20" xfId="7" applyNumberFormat="1" applyFont="1" applyFill="1" applyBorder="1" applyAlignment="1" applyProtection="1">
      <protection locked="0"/>
    </xf>
    <xf numFmtId="170" fontId="24" fillId="0" borderId="21" xfId="7" applyNumberFormat="1" applyFont="1" applyFill="1" applyBorder="1" applyAlignment="1" applyProtection="1">
      <protection locked="0"/>
    </xf>
    <xf numFmtId="0" fontId="24" fillId="0" borderId="0" xfId="6" applyFont="1" applyFill="1" applyProtection="1">
      <protection locked="0"/>
    </xf>
    <xf numFmtId="0" fontId="18" fillId="0" borderId="0" xfId="6" applyFont="1" applyFill="1" applyProtection="1"/>
    <xf numFmtId="170" fontId="24" fillId="0" borderId="24" xfId="7" applyNumberFormat="1" applyFont="1" applyFill="1" applyBorder="1" applyAlignment="1" applyProtection="1">
      <alignment horizontal="right"/>
    </xf>
    <xf numFmtId="38" fontId="24" fillId="0" borderId="27" xfId="7" applyNumberFormat="1" applyFont="1" applyFill="1" applyBorder="1" applyProtection="1"/>
    <xf numFmtId="9" fontId="24" fillId="0" borderId="26" xfId="9" applyFont="1" applyFill="1" applyBorder="1" applyProtection="1"/>
    <xf numFmtId="38" fontId="24" fillId="0" borderId="21" xfId="7" applyNumberFormat="1" applyFont="1" applyFill="1" applyBorder="1" applyProtection="1"/>
    <xf numFmtId="9" fontId="24" fillId="0" borderId="20" xfId="9" applyFont="1" applyFill="1" applyBorder="1" applyProtection="1"/>
    <xf numFmtId="9" fontId="24" fillId="0" borderId="21" xfId="9" applyFont="1" applyFill="1" applyBorder="1" applyProtection="1"/>
    <xf numFmtId="0" fontId="23" fillId="0" borderId="0" xfId="6" applyFont="1" applyFill="1" applyProtection="1"/>
    <xf numFmtId="44" fontId="24" fillId="0" borderId="21" xfId="7" applyFont="1" applyFill="1" applyBorder="1" applyAlignment="1" applyProtection="1">
      <alignment horizontal="right"/>
    </xf>
    <xf numFmtId="44" fontId="24" fillId="0" borderId="20" xfId="7" applyFont="1" applyFill="1" applyBorder="1" applyAlignment="1" applyProtection="1"/>
    <xf numFmtId="44" fontId="24" fillId="0" borderId="21" xfId="7" applyFont="1" applyFill="1" applyBorder="1" applyAlignment="1" applyProtection="1"/>
    <xf numFmtId="44" fontId="24" fillId="24" borderId="21" xfId="7" applyFont="1" applyFill="1" applyBorder="1" applyProtection="1"/>
    <xf numFmtId="44" fontId="24" fillId="24" borderId="20" xfId="7" applyFont="1" applyFill="1" applyBorder="1" applyProtection="1"/>
    <xf numFmtId="9" fontId="24" fillId="0" borderId="31" xfId="9" applyFont="1" applyBorder="1" applyProtection="1"/>
    <xf numFmtId="9" fontId="24" fillId="0" borderId="0" xfId="8" applyFont="1" applyProtection="1"/>
    <xf numFmtId="9" fontId="24" fillId="0" borderId="20" xfId="8" applyFont="1" applyBorder="1" applyProtection="1"/>
    <xf numFmtId="10" fontId="24" fillId="0" borderId="20" xfId="8" applyNumberFormat="1" applyFont="1" applyBorder="1" applyProtection="1"/>
    <xf numFmtId="44" fontId="24" fillId="0" borderId="22" xfId="6" applyNumberFormat="1" applyFont="1" applyFill="1" applyBorder="1" applyProtection="1"/>
    <xf numFmtId="10" fontId="24" fillId="0" borderId="22" xfId="9" applyNumberFormat="1" applyFont="1" applyBorder="1" applyProtection="1"/>
    <xf numFmtId="38" fontId="24" fillId="0" borderId="20" xfId="7" applyNumberFormat="1" applyFont="1" applyFill="1" applyBorder="1" applyProtection="1"/>
    <xf numFmtId="38" fontId="24" fillId="25" borderId="21" xfId="7" applyNumberFormat="1" applyFont="1" applyFill="1" applyBorder="1" applyProtection="1">
      <protection locked="0"/>
    </xf>
    <xf numFmtId="169" fontId="24" fillId="0" borderId="20" xfId="7" applyNumberFormat="1" applyFont="1" applyBorder="1" applyProtection="1"/>
    <xf numFmtId="169" fontId="24" fillId="0" borderId="22" xfId="7" applyNumberFormat="1" applyFont="1" applyBorder="1" applyProtection="1"/>
    <xf numFmtId="169" fontId="24" fillId="0" borderId="23" xfId="7" applyNumberFormat="1" applyFont="1" applyBorder="1" applyProtection="1"/>
    <xf numFmtId="169" fontId="18" fillId="0" borderId="25" xfId="7" applyNumberFormat="1" applyFont="1" applyBorder="1" applyProtection="1"/>
    <xf numFmtId="172" fontId="14" fillId="0" borderId="0" xfId="0" applyNumberFormat="1" applyFont="1" applyProtection="1"/>
    <xf numFmtId="0" fontId="14" fillId="0" borderId="0" xfId="0" quotePrefix="1" applyFont="1" applyProtection="1"/>
    <xf numFmtId="165" fontId="5" fillId="29" borderId="5" xfId="1" applyNumberFormat="1" applyFont="1" applyFill="1" applyBorder="1"/>
    <xf numFmtId="165" fontId="5" fillId="30" borderId="5" xfId="1" applyNumberFormat="1" applyFont="1" applyFill="1" applyBorder="1"/>
    <xf numFmtId="165" fontId="5" fillId="6" borderId="5" xfId="1" applyNumberFormat="1" applyFon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44" fontId="2" fillId="0" borderId="0" xfId="2" applyFont="1"/>
    <xf numFmtId="164" fontId="0" fillId="30" borderId="38" xfId="2" applyNumberFormat="1" applyFont="1" applyFill="1" applyBorder="1"/>
    <xf numFmtId="44" fontId="0" fillId="0" borderId="0" xfId="2" applyFont="1" applyBorder="1"/>
    <xf numFmtId="44" fontId="32" fillId="0" borderId="0" xfId="2" applyFont="1" applyBorder="1"/>
    <xf numFmtId="44" fontId="32" fillId="0" borderId="37" xfId="2" applyFont="1" applyBorder="1"/>
    <xf numFmtId="164" fontId="0" fillId="0" borderId="38" xfId="2" applyNumberFormat="1" applyFont="1" applyBorder="1"/>
    <xf numFmtId="44" fontId="32" fillId="0" borderId="0" xfId="0" applyNumberFormat="1" applyFont="1" applyBorder="1"/>
    <xf numFmtId="44" fontId="32" fillId="0" borderId="37" xfId="0" applyNumberFormat="1" applyFont="1" applyBorder="1"/>
    <xf numFmtId="44" fontId="0" fillId="0" borderId="38" xfId="0" applyNumberFormat="1" applyFont="1" applyBorder="1"/>
    <xf numFmtId="0" fontId="0" fillId="20" borderId="4" xfId="0" applyFont="1" applyFill="1" applyBorder="1"/>
    <xf numFmtId="165" fontId="0" fillId="20" borderId="0" xfId="0" applyNumberFormat="1" applyFont="1" applyFill="1" applyBorder="1"/>
    <xf numFmtId="44" fontId="0" fillId="0" borderId="0" xfId="0" applyNumberFormat="1" applyFont="1" applyBorder="1"/>
    <xf numFmtId="0" fontId="0" fillId="0" borderId="5" xfId="0" applyFont="1" applyBorder="1"/>
    <xf numFmtId="0" fontId="0" fillId="6" borderId="4" xfId="0" applyFont="1" applyFill="1" applyBorder="1"/>
    <xf numFmtId="165" fontId="0" fillId="6" borderId="0" xfId="3" applyNumberFormat="1" applyFont="1" applyFill="1" applyBorder="1"/>
    <xf numFmtId="0" fontId="0" fillId="30" borderId="4" xfId="0" applyFont="1" applyFill="1" applyBorder="1"/>
    <xf numFmtId="165" fontId="0" fillId="30" borderId="0" xfId="0" applyNumberFormat="1" applyFont="1" applyFill="1" applyBorder="1"/>
    <xf numFmtId="0" fontId="0" fillId="10" borderId="4" xfId="0" applyFont="1" applyFill="1" applyBorder="1"/>
    <xf numFmtId="165" fontId="0" fillId="10" borderId="0" xfId="0" applyNumberFormat="1" applyFont="1" applyFill="1" applyBorder="1"/>
    <xf numFmtId="43" fontId="0" fillId="0" borderId="0" xfId="0" applyNumberFormat="1" applyFont="1" applyBorder="1"/>
    <xf numFmtId="0" fontId="2" fillId="0" borderId="4" xfId="0" applyFont="1" applyBorder="1" applyAlignment="1">
      <alignment horizontal="right"/>
    </xf>
    <xf numFmtId="165" fontId="2" fillId="0" borderId="0" xfId="0" applyNumberFormat="1" applyFont="1" applyBorder="1"/>
    <xf numFmtId="0" fontId="0" fillId="13" borderId="4" xfId="0" applyFont="1" applyFill="1" applyBorder="1"/>
    <xf numFmtId="164" fontId="0" fillId="13" borderId="0" xfId="2" applyNumberFormat="1" applyFont="1" applyFill="1" applyBorder="1"/>
    <xf numFmtId="164" fontId="0" fillId="0" borderId="0" xfId="2" applyNumberFormat="1" applyFont="1" applyBorder="1"/>
    <xf numFmtId="0" fontId="0" fillId="12" borderId="4" xfId="0" applyFont="1" applyFill="1" applyBorder="1"/>
    <xf numFmtId="164" fontId="0" fillId="12" borderId="0" xfId="2" applyNumberFormat="1" applyFont="1" applyFill="1" applyBorder="1"/>
    <xf numFmtId="164" fontId="0" fillId="10" borderId="0" xfId="2" applyNumberFormat="1" applyFont="1" applyFill="1" applyBorder="1"/>
    <xf numFmtId="0" fontId="0" fillId="30" borderId="39" xfId="0" applyFont="1" applyFill="1" applyBorder="1"/>
    <xf numFmtId="0" fontId="31" fillId="0" borderId="40" xfId="0" applyFont="1" applyBorder="1" applyAlignment="1">
      <alignment horizontal="center"/>
    </xf>
    <xf numFmtId="0" fontId="32" fillId="0" borderId="5" xfId="0" applyFont="1" applyBorder="1"/>
    <xf numFmtId="0" fontId="32" fillId="0" borderId="42" xfId="0" applyFont="1" applyBorder="1"/>
    <xf numFmtId="0" fontId="0" fillId="19" borderId="4" xfId="0" applyFont="1" applyFill="1" applyBorder="1"/>
    <xf numFmtId="164" fontId="0" fillId="19" borderId="0" xfId="2" applyNumberFormat="1" applyFont="1" applyFill="1" applyBorder="1"/>
    <xf numFmtId="0" fontId="0" fillId="0" borderId="5" xfId="0" applyFont="1" applyBorder="1" applyAlignment="1">
      <alignment wrapText="1"/>
    </xf>
    <xf numFmtId="164" fontId="0" fillId="20" borderId="0" xfId="2" applyNumberFormat="1" applyFont="1" applyFill="1" applyBorder="1"/>
    <xf numFmtId="0" fontId="0" fillId="29" borderId="4" xfId="0" applyFont="1" applyFill="1" applyBorder="1"/>
    <xf numFmtId="164" fontId="0" fillId="29" borderId="0" xfId="2" applyNumberFormat="1" applyFont="1" applyFill="1" applyBorder="1"/>
    <xf numFmtId="0" fontId="0" fillId="15" borderId="4" xfId="0" applyFont="1" applyFill="1" applyBorder="1"/>
    <xf numFmtId="164" fontId="0" fillId="15" borderId="0" xfId="2" applyNumberFormat="1" applyFont="1" applyFill="1" applyBorder="1"/>
    <xf numFmtId="0" fontId="0" fillId="18" borderId="4" xfId="0" applyFont="1" applyFill="1" applyBorder="1"/>
    <xf numFmtId="164" fontId="0" fillId="18" borderId="0" xfId="2" applyNumberFormat="1" applyFont="1" applyFill="1" applyBorder="1"/>
    <xf numFmtId="0" fontId="0" fillId="16" borderId="4" xfId="0" applyFont="1" applyFill="1" applyBorder="1"/>
    <xf numFmtId="164" fontId="0" fillId="16" borderId="0" xfId="2" applyNumberFormat="1" applyFont="1" applyFill="1" applyBorder="1"/>
    <xf numFmtId="0" fontId="0" fillId="17" borderId="4" xfId="0" applyFont="1" applyFill="1" applyBorder="1"/>
    <xf numFmtId="164" fontId="0" fillId="17" borderId="0" xfId="2" applyNumberFormat="1" applyFont="1" applyFill="1" applyBorder="1"/>
    <xf numFmtId="0" fontId="0" fillId="11" borderId="4" xfId="0" applyFont="1" applyFill="1" applyBorder="1"/>
    <xf numFmtId="164" fontId="0" fillId="11" borderId="0" xfId="2" applyNumberFormat="1" applyFont="1" applyFill="1" applyBorder="1"/>
    <xf numFmtId="0" fontId="0" fillId="14" borderId="4" xfId="0" applyFont="1" applyFill="1" applyBorder="1"/>
    <xf numFmtId="164" fontId="0" fillId="14" borderId="0" xfId="2" applyNumberFormat="1" applyFont="1" applyFill="1" applyBorder="1"/>
    <xf numFmtId="165" fontId="5" fillId="0" borderId="4" xfId="1" applyNumberFormat="1" applyFont="1" applyFill="1" applyBorder="1"/>
    <xf numFmtId="44" fontId="2" fillId="0" borderId="0" xfId="2" applyFont="1" applyBorder="1"/>
    <xf numFmtId="44" fontId="0" fillId="0" borderId="43" xfId="0" applyNumberFormat="1" applyFont="1" applyBorder="1"/>
    <xf numFmtId="0" fontId="0" fillId="0" borderId="11" xfId="0" applyFont="1" applyBorder="1"/>
    <xf numFmtId="0" fontId="0" fillId="0" borderId="15" xfId="0" applyFont="1" applyBorder="1"/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2" fillId="30" borderId="4" xfId="0" applyFont="1" applyFill="1" applyBorder="1" applyAlignment="1">
      <alignment horizontal="right"/>
    </xf>
    <xf numFmtId="44" fontId="32" fillId="30" borderId="0" xfId="2" applyFont="1" applyFill="1" applyBorder="1"/>
    <xf numFmtId="0" fontId="32" fillId="30" borderId="41" xfId="0" applyFont="1" applyFill="1" applyBorder="1" applyAlignment="1">
      <alignment horizontal="right"/>
    </xf>
    <xf numFmtId="44" fontId="32" fillId="30" borderId="37" xfId="2" applyFont="1" applyFill="1" applyBorder="1"/>
    <xf numFmtId="0" fontId="0" fillId="0" borderId="0" xfId="0" applyAlignment="1">
      <alignment horizontal="center" wrapText="1"/>
    </xf>
    <xf numFmtId="164" fontId="5" fillId="0" borderId="0" xfId="2" applyNumberFormat="1" applyFont="1" applyFill="1" applyBorder="1"/>
    <xf numFmtId="37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10" fontId="5" fillId="0" borderId="0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center"/>
    </xf>
    <xf numFmtId="9" fontId="6" fillId="0" borderId="0" xfId="3" applyFont="1" applyFill="1" applyBorder="1" applyAlignment="1">
      <alignment horizontal="right"/>
    </xf>
    <xf numFmtId="0" fontId="3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7" fontId="5" fillId="0" borderId="0" xfId="3" applyNumberFormat="1" applyFont="1" applyFill="1" applyBorder="1"/>
    <xf numFmtId="43" fontId="4" fillId="0" borderId="0" xfId="1" applyFont="1" applyFill="1" applyBorder="1"/>
    <xf numFmtId="0" fontId="2" fillId="0" borderId="0" xfId="0" applyFont="1" applyFill="1" applyBorder="1" applyAlignment="1"/>
    <xf numFmtId="41" fontId="5" fillId="0" borderId="0" xfId="0" applyNumberFormat="1" applyFont="1" applyFill="1" applyBorder="1"/>
    <xf numFmtId="165" fontId="9" fillId="0" borderId="0" xfId="1" applyNumberFormat="1" applyFont="1" applyFill="1" applyBorder="1"/>
    <xf numFmtId="10" fontId="0" fillId="0" borderId="0" xfId="3" applyNumberFormat="1" applyFont="1" applyFill="1"/>
    <xf numFmtId="0" fontId="0" fillId="0" borderId="0" xfId="0" applyFill="1"/>
    <xf numFmtId="10" fontId="0" fillId="0" borderId="0" xfId="0" applyNumberFormat="1" applyFill="1"/>
    <xf numFmtId="44" fontId="4" fillId="0" borderId="0" xfId="2" applyFont="1"/>
  </cellXfs>
  <cellStyles count="10">
    <cellStyle name="Comma" xfId="1" builtinId="3"/>
    <cellStyle name="Currency" xfId="2" builtinId="4"/>
    <cellStyle name="Currency 2" xfId="7" xr:uid="{00000000-0005-0000-0000-000002000000}"/>
    <cellStyle name="Hyperlink" xfId="5" builtinId="8"/>
    <cellStyle name="Normal" xfId="0" builtinId="0"/>
    <cellStyle name="Normal 10" xfId="4" xr:uid="{00000000-0005-0000-0000-000005000000}"/>
    <cellStyle name="Normal 2" xfId="6" xr:uid="{00000000-0005-0000-0000-000006000000}"/>
    <cellStyle name="Percent" xfId="3" builtinId="5"/>
    <cellStyle name="Percent 2" xfId="8" xr:uid="{00000000-0005-0000-0000-000008000000}"/>
    <cellStyle name="Percent 3" xfId="9" xr:uid="{00000000-0005-0000-0000-000009000000}"/>
  </cellStyles>
  <dxfs count="4">
    <dxf>
      <fill>
        <patternFill>
          <bgColor rgb="FFFF000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.Padron\AppData\Local\Microsoft\Windows\INetCache\Content.Outlook\AYEY0R9R\Attachment%2016%20-%20Financial%20Plan%20Workbook%20-%20CIVICA%20-%2001.06.20%20(00000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"/>
      <sheetName val="Summary"/>
      <sheetName val="Market"/>
      <sheetName val="Enrol Staff &amp; Exp"/>
      <sheetName val="Facilities"/>
      <sheetName val="Facilities wkst"/>
      <sheetName val="FFE&amp;T"/>
      <sheetName val="Marketing"/>
      <sheetName val="Ins"/>
      <sheetName val="Incubation"/>
      <sheetName val="EMO-CMO"/>
      <sheetName val="CF Y1 Mo"/>
      <sheetName val="DSA Rates"/>
      <sheetName val="Note FFE"/>
      <sheetName val="Sheet2"/>
    </sheetNames>
    <sheetDataSet>
      <sheetData sheetId="0"/>
      <sheetData sheetId="1">
        <row r="8">
          <cell r="C8" t="str">
            <v>CIVICA Nevada</v>
          </cell>
        </row>
      </sheetData>
      <sheetData sheetId="2">
        <row r="12">
          <cell r="G12">
            <v>56</v>
          </cell>
        </row>
        <row r="42">
          <cell r="F42">
            <v>4128481.4782876228</v>
          </cell>
        </row>
        <row r="48">
          <cell r="F48">
            <v>292410</v>
          </cell>
        </row>
        <row r="49">
          <cell r="F49">
            <v>72503.999999999985</v>
          </cell>
        </row>
      </sheetData>
      <sheetData sheetId="3"/>
      <sheetData sheetId="4">
        <row r="10">
          <cell r="H10">
            <v>2021</v>
          </cell>
        </row>
        <row r="11">
          <cell r="H11">
            <v>2022</v>
          </cell>
        </row>
        <row r="59">
          <cell r="H59">
            <v>4128481.4782876228</v>
          </cell>
        </row>
        <row r="60">
          <cell r="H60">
            <v>-51606.018478595288</v>
          </cell>
        </row>
        <row r="61">
          <cell r="H61">
            <v>379050</v>
          </cell>
        </row>
        <row r="62">
          <cell r="H62">
            <v>1995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292410</v>
          </cell>
        </row>
        <row r="66">
          <cell r="H66">
            <v>72503.999999999985</v>
          </cell>
        </row>
        <row r="67">
          <cell r="H67">
            <v>239399.99999999997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5062234.4598090276</v>
          </cell>
        </row>
        <row r="421">
          <cell r="H421">
            <v>1545600</v>
          </cell>
        </row>
        <row r="1343">
          <cell r="H1343">
            <v>721003.84800000011</v>
          </cell>
        </row>
        <row r="1368">
          <cell r="H1368">
            <v>0</v>
          </cell>
        </row>
        <row r="1370">
          <cell r="H1370">
            <v>0</v>
          </cell>
        </row>
        <row r="1372">
          <cell r="H1372">
            <v>8640</v>
          </cell>
        </row>
        <row r="1418">
          <cell r="H1418">
            <v>386031.81478287623</v>
          </cell>
        </row>
        <row r="1426">
          <cell r="H1426">
            <v>25000</v>
          </cell>
        </row>
        <row r="1435">
          <cell r="H1435">
            <v>256500</v>
          </cell>
        </row>
        <row r="1464">
          <cell r="H1464">
            <v>0</v>
          </cell>
        </row>
        <row r="1581">
          <cell r="H1581">
            <v>0</v>
          </cell>
        </row>
      </sheetData>
      <sheetData sheetId="5">
        <row r="74">
          <cell r="H74">
            <v>820000</v>
          </cell>
        </row>
        <row r="75">
          <cell r="H75">
            <v>83991.6</v>
          </cell>
        </row>
        <row r="76">
          <cell r="H76">
            <v>111352.5</v>
          </cell>
        </row>
        <row r="77">
          <cell r="H77">
            <v>31815</v>
          </cell>
        </row>
        <row r="78">
          <cell r="H78">
            <v>8000</v>
          </cell>
        </row>
        <row r="79">
          <cell r="H79">
            <v>0</v>
          </cell>
        </row>
        <row r="80">
          <cell r="H80">
            <v>0</v>
          </cell>
        </row>
      </sheetData>
      <sheetData sheetId="6"/>
      <sheetData sheetId="7">
        <row r="54">
          <cell r="H54">
            <v>162280</v>
          </cell>
        </row>
      </sheetData>
      <sheetData sheetId="8">
        <row r="44">
          <cell r="I44">
            <v>0</v>
          </cell>
        </row>
      </sheetData>
      <sheetData sheetId="9">
        <row r="59">
          <cell r="L59">
            <v>40000</v>
          </cell>
        </row>
      </sheetData>
      <sheetData sheetId="10"/>
      <sheetData sheetId="11">
        <row r="19">
          <cell r="F19">
            <v>256500</v>
          </cell>
        </row>
        <row r="29">
          <cell r="F29">
            <v>12500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Q141"/>
  <sheetViews>
    <sheetView topLeftCell="A13" zoomScale="70" zoomScaleNormal="70" zoomScaleSheetLayoutView="70" workbookViewId="0">
      <selection activeCell="F14" sqref="F14"/>
    </sheetView>
  </sheetViews>
  <sheetFormatPr defaultColWidth="9.140625" defaultRowHeight="15" x14ac:dyDescent="0.25"/>
  <cols>
    <col min="1" max="1" width="22.28515625" style="122" customWidth="1"/>
    <col min="2" max="2" width="12.28515625" style="122" customWidth="1"/>
    <col min="3" max="3" width="11.5703125" style="122" customWidth="1"/>
    <col min="4" max="5" width="13.7109375" style="122" customWidth="1"/>
    <col min="6" max="14" width="12.7109375" style="122" customWidth="1"/>
    <col min="15" max="16" width="11.85546875" style="122" customWidth="1"/>
    <col min="17" max="17" width="2.42578125" style="126" customWidth="1"/>
    <col min="18" max="18" width="3.85546875" style="122" customWidth="1"/>
    <col min="19" max="16384" width="9.140625" style="122"/>
  </cols>
  <sheetData>
    <row r="1" spans="1:16" ht="15.6" x14ac:dyDescent="0.3">
      <c r="A1" s="120" t="s">
        <v>176</v>
      </c>
      <c r="B1" s="121"/>
      <c r="E1" s="123"/>
      <c r="G1" s="124"/>
      <c r="O1" s="125"/>
    </row>
    <row r="2" spans="1:16" ht="15.6" x14ac:dyDescent="0.3">
      <c r="A2" s="127" t="str">
        <f>SchoolName</f>
        <v>CIVICA Nevada</v>
      </c>
      <c r="B2" s="128"/>
    </row>
    <row r="3" spans="1:16" ht="13.9" x14ac:dyDescent="0.25">
      <c r="A3" s="129" t="s">
        <v>177</v>
      </c>
      <c r="B3" s="129"/>
      <c r="C3" s="129"/>
    </row>
    <row r="4" spans="1:16" ht="13.9" x14ac:dyDescent="0.25">
      <c r="A4" s="130" t="s">
        <v>178</v>
      </c>
      <c r="B4" s="130"/>
      <c r="C4" s="130"/>
    </row>
    <row r="5" spans="1:16" ht="13.9" x14ac:dyDescent="0.25">
      <c r="A5" s="131" t="str">
        <f ca="1">CELL("filename")</f>
        <v>C:\Users\dpeltier\AppData\Local\Microsoft\Windows\INetCache\Content.Outlook\ILZM6FJQ\[CIVICA - Year 1 Comparison  Cashflow.xlsx]CIVICA BUDGET V. WORKBOOK COMP</v>
      </c>
      <c r="B5" s="131"/>
      <c r="C5" s="131"/>
    </row>
    <row r="6" spans="1:16" ht="13.9" x14ac:dyDescent="0.25">
      <c r="I6" s="132"/>
    </row>
    <row r="7" spans="1:16" ht="17.45" x14ac:dyDescent="0.3">
      <c r="A7" s="133" t="s">
        <v>179</v>
      </c>
      <c r="B7" s="133"/>
      <c r="C7" s="133"/>
      <c r="D7" s="134">
        <f>'[1]Enrol Staff &amp; Exp'!H10</f>
        <v>2021</v>
      </c>
      <c r="E7" s="135" t="s">
        <v>180</v>
      </c>
      <c r="L7" s="136"/>
      <c r="M7" s="136"/>
      <c r="N7" s="136"/>
      <c r="O7" s="136"/>
      <c r="P7" s="136"/>
    </row>
    <row r="8" spans="1:16" ht="14.45" x14ac:dyDescent="0.3">
      <c r="A8" s="137" t="s">
        <v>181</v>
      </c>
      <c r="B8" s="137"/>
      <c r="C8" s="137"/>
      <c r="D8" s="134">
        <f>'[1]Enrol Staff &amp; Exp'!H11</f>
        <v>2022</v>
      </c>
      <c r="E8" s="138" t="s">
        <v>182</v>
      </c>
      <c r="F8" s="139"/>
      <c r="K8" s="139"/>
      <c r="L8" s="139"/>
      <c r="M8" s="139"/>
      <c r="N8" s="139"/>
      <c r="O8" s="139"/>
      <c r="P8" s="139"/>
    </row>
    <row r="9" spans="1:16" ht="13.9" x14ac:dyDescent="0.25">
      <c r="A9" s="137" t="s">
        <v>183</v>
      </c>
      <c r="B9" s="137"/>
      <c r="C9" s="137"/>
      <c r="D9" s="140">
        <v>1.2500000000000001E-2</v>
      </c>
      <c r="E9" s="123"/>
      <c r="F9" s="139"/>
      <c r="K9" s="139"/>
      <c r="L9" s="139"/>
      <c r="M9" s="139"/>
      <c r="N9" s="139"/>
      <c r="O9" s="139"/>
      <c r="P9" s="139"/>
    </row>
    <row r="10" spans="1:16" ht="14.45" thickBot="1" x14ac:dyDescent="0.3">
      <c r="A10" s="123" t="s">
        <v>184</v>
      </c>
      <c r="B10" s="123"/>
      <c r="C10" s="123"/>
      <c r="D10" s="136"/>
      <c r="E10" s="141"/>
      <c r="F10" s="141"/>
      <c r="G10" s="136"/>
      <c r="H10" s="141"/>
      <c r="I10" s="136"/>
      <c r="J10" s="136"/>
      <c r="K10" s="136"/>
      <c r="L10" s="136"/>
      <c r="M10" s="136"/>
      <c r="N10" s="136"/>
      <c r="O10" s="136"/>
      <c r="P10" s="136"/>
    </row>
    <row r="11" spans="1:16" ht="15" customHeight="1" x14ac:dyDescent="0.25">
      <c r="B11" s="142" t="s">
        <v>185</v>
      </c>
      <c r="C11" s="142"/>
      <c r="D11" s="142" t="s">
        <v>186</v>
      </c>
      <c r="E11" s="143" t="s">
        <v>187</v>
      </c>
      <c r="F11" s="143" t="s">
        <v>187</v>
      </c>
      <c r="G11" s="144" t="s">
        <v>187</v>
      </c>
      <c r="H11" s="143" t="s">
        <v>187</v>
      </c>
      <c r="I11" s="143" t="s">
        <v>187</v>
      </c>
      <c r="J11" s="144" t="s">
        <v>187</v>
      </c>
      <c r="K11" s="143" t="s">
        <v>187</v>
      </c>
      <c r="L11" s="143" t="s">
        <v>187</v>
      </c>
      <c r="M11" s="144" t="s">
        <v>187</v>
      </c>
      <c r="N11" s="143" t="s">
        <v>187</v>
      </c>
      <c r="O11" s="143" t="s">
        <v>187</v>
      </c>
      <c r="P11" s="144" t="s">
        <v>187</v>
      </c>
    </row>
    <row r="12" spans="1:16" ht="14.45" thickBot="1" x14ac:dyDescent="0.3">
      <c r="A12" s="145"/>
      <c r="B12" s="146" t="s">
        <v>188</v>
      </c>
      <c r="C12" s="147" t="s">
        <v>175</v>
      </c>
      <c r="D12" s="148">
        <f>+D8</f>
        <v>2022</v>
      </c>
      <c r="E12" s="149" t="s">
        <v>189</v>
      </c>
      <c r="F12" s="149" t="s">
        <v>190</v>
      </c>
      <c r="G12" s="150" t="s">
        <v>191</v>
      </c>
      <c r="H12" s="149" t="s">
        <v>192</v>
      </c>
      <c r="I12" s="149" t="s">
        <v>193</v>
      </c>
      <c r="J12" s="150" t="s">
        <v>194</v>
      </c>
      <c r="K12" s="149" t="s">
        <v>195</v>
      </c>
      <c r="L12" s="149" t="s">
        <v>196</v>
      </c>
      <c r="M12" s="150" t="s">
        <v>197</v>
      </c>
      <c r="N12" s="149" t="s">
        <v>198</v>
      </c>
      <c r="O12" s="149" t="s">
        <v>199</v>
      </c>
      <c r="P12" s="150" t="s">
        <v>200</v>
      </c>
    </row>
    <row r="13" spans="1:16" ht="13.9" x14ac:dyDescent="0.25">
      <c r="A13" s="151" t="s">
        <v>201</v>
      </c>
      <c r="B13" s="151"/>
      <c r="C13" s="151"/>
      <c r="D13" s="152"/>
      <c r="E13" s="153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</row>
    <row r="14" spans="1:16" ht="13.9" x14ac:dyDescent="0.25">
      <c r="A14" s="155" t="s">
        <v>202</v>
      </c>
      <c r="B14" s="156">
        <f>'[1]Enrol Staff &amp; Exp'!H59</f>
        <v>4128481.4782876228</v>
      </c>
      <c r="C14" s="156">
        <f>+B14-D14</f>
        <v>0</v>
      </c>
      <c r="D14" s="157">
        <f>SUM(E14:P14)</f>
        <v>4128481.4782876228</v>
      </c>
      <c r="E14" s="158"/>
      <c r="F14" s="159">
        <f>[1]Summary!F42/11</f>
        <v>375316.49802614754</v>
      </c>
      <c r="G14" s="159">
        <f t="shared" ref="G14:P14" si="0">F14</f>
        <v>375316.49802614754</v>
      </c>
      <c r="H14" s="159">
        <f t="shared" si="0"/>
        <v>375316.49802614754</v>
      </c>
      <c r="I14" s="159">
        <f t="shared" si="0"/>
        <v>375316.49802614754</v>
      </c>
      <c r="J14" s="159">
        <f t="shared" si="0"/>
        <v>375316.49802614754</v>
      </c>
      <c r="K14" s="159">
        <f t="shared" si="0"/>
        <v>375316.49802614754</v>
      </c>
      <c r="L14" s="159">
        <f t="shared" si="0"/>
        <v>375316.49802614754</v>
      </c>
      <c r="M14" s="159">
        <f t="shared" si="0"/>
        <v>375316.49802614754</v>
      </c>
      <c r="N14" s="159">
        <f t="shared" si="0"/>
        <v>375316.49802614754</v>
      </c>
      <c r="O14" s="159">
        <f t="shared" si="0"/>
        <v>375316.49802614754</v>
      </c>
      <c r="P14" s="159">
        <f t="shared" si="0"/>
        <v>375316.49802614754</v>
      </c>
    </row>
    <row r="15" spans="1:16" ht="13.9" x14ac:dyDescent="0.25">
      <c r="A15" s="155" t="s">
        <v>203</v>
      </c>
      <c r="B15" s="160">
        <f>'[1]Enrol Staff &amp; Exp'!H60</f>
        <v>-51606.018478595288</v>
      </c>
      <c r="C15" s="160">
        <f t="shared" ref="C15:C30" si="1">+B15-D15</f>
        <v>0</v>
      </c>
      <c r="D15" s="161">
        <f>SUM(E15:P15)</f>
        <v>-51606.018478595288</v>
      </c>
      <c r="E15" s="162">
        <f>-0.0125*E14</f>
        <v>0</v>
      </c>
      <c r="F15" s="162">
        <f t="shared" ref="F15:O15" si="2">-0.0125*F14</f>
        <v>-4691.4562253268441</v>
      </c>
      <c r="G15" s="162">
        <f t="shared" si="2"/>
        <v>-4691.4562253268441</v>
      </c>
      <c r="H15" s="162">
        <f t="shared" si="2"/>
        <v>-4691.4562253268441</v>
      </c>
      <c r="I15" s="162">
        <f t="shared" si="2"/>
        <v>-4691.4562253268441</v>
      </c>
      <c r="J15" s="162">
        <f t="shared" si="2"/>
        <v>-4691.4562253268441</v>
      </c>
      <c r="K15" s="162">
        <f t="shared" si="2"/>
        <v>-4691.4562253268441</v>
      </c>
      <c r="L15" s="162">
        <f t="shared" si="2"/>
        <v>-4691.4562253268441</v>
      </c>
      <c r="M15" s="162">
        <f t="shared" si="2"/>
        <v>-4691.4562253268441</v>
      </c>
      <c r="N15" s="162">
        <f t="shared" si="2"/>
        <v>-4691.4562253268441</v>
      </c>
      <c r="O15" s="162">
        <f t="shared" si="2"/>
        <v>-4691.4562253268441</v>
      </c>
      <c r="P15" s="163">
        <f>O15</f>
        <v>-4691.4562253268441</v>
      </c>
    </row>
    <row r="16" spans="1:16" ht="13.9" x14ac:dyDescent="0.25">
      <c r="A16" s="155" t="s">
        <v>204</v>
      </c>
      <c r="B16" s="160">
        <f>'[1]Enrol Staff &amp; Exp'!H61</f>
        <v>379050</v>
      </c>
      <c r="C16" s="160">
        <f t="shared" si="1"/>
        <v>379050</v>
      </c>
      <c r="D16" s="161">
        <f>SUM(E16:P16)</f>
        <v>0</v>
      </c>
      <c r="E16" s="162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>
        <v>0</v>
      </c>
    </row>
    <row r="17" spans="1:16" ht="13.9" x14ac:dyDescent="0.25">
      <c r="A17" s="155" t="s">
        <v>205</v>
      </c>
      <c r="B17" s="160">
        <f>'[1]Enrol Staff &amp; Exp'!H62</f>
        <v>1995</v>
      </c>
      <c r="C17" s="160">
        <f t="shared" si="1"/>
        <v>1995</v>
      </c>
      <c r="D17" s="161">
        <f>SUM(E17:P17)</f>
        <v>0</v>
      </c>
      <c r="E17" s="162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>
        <v>0</v>
      </c>
    </row>
    <row r="18" spans="1:16" ht="13.9" x14ac:dyDescent="0.25">
      <c r="A18" s="155" t="s">
        <v>206</v>
      </c>
      <c r="B18" s="160">
        <f>'[1]Enrol Staff &amp; Exp'!H63</f>
        <v>0</v>
      </c>
      <c r="C18" s="160">
        <f t="shared" si="1"/>
        <v>0</v>
      </c>
      <c r="D18" s="161">
        <f t="shared" ref="D18:D29" si="3">SUM(E18:P18)</f>
        <v>0</v>
      </c>
      <c r="E18" s="162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>
        <v>0</v>
      </c>
    </row>
    <row r="19" spans="1:16" ht="13.9" x14ac:dyDescent="0.25">
      <c r="A19" s="164" t="s">
        <v>207</v>
      </c>
      <c r="B19" s="160">
        <f>'[1]Enrol Staff &amp; Exp'!H64</f>
        <v>0</v>
      </c>
      <c r="C19" s="160">
        <f t="shared" si="1"/>
        <v>0</v>
      </c>
      <c r="D19" s="161">
        <f t="shared" si="3"/>
        <v>0</v>
      </c>
      <c r="E19" s="165"/>
      <c r="F19" s="163"/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/>
    </row>
    <row r="20" spans="1:16" ht="13.9" x14ac:dyDescent="0.25">
      <c r="A20" s="155" t="s">
        <v>208</v>
      </c>
      <c r="B20" s="160">
        <f>'[1]Enrol Staff &amp; Exp'!H65</f>
        <v>292410</v>
      </c>
      <c r="C20" s="160">
        <f t="shared" si="1"/>
        <v>0</v>
      </c>
      <c r="D20" s="161">
        <f t="shared" si="3"/>
        <v>292410</v>
      </c>
      <c r="E20" s="165"/>
      <c r="F20" s="165"/>
      <c r="G20" s="165">
        <f>[1]Summary!F48/10</f>
        <v>29241</v>
      </c>
      <c r="H20" s="165">
        <f t="shared" ref="H20:P21" si="4">G20</f>
        <v>29241</v>
      </c>
      <c r="I20" s="165">
        <f t="shared" si="4"/>
        <v>29241</v>
      </c>
      <c r="J20" s="165">
        <f t="shared" si="4"/>
        <v>29241</v>
      </c>
      <c r="K20" s="165">
        <f t="shared" si="4"/>
        <v>29241</v>
      </c>
      <c r="L20" s="165">
        <f t="shared" si="4"/>
        <v>29241</v>
      </c>
      <c r="M20" s="165">
        <f t="shared" si="4"/>
        <v>29241</v>
      </c>
      <c r="N20" s="165">
        <f t="shared" si="4"/>
        <v>29241</v>
      </c>
      <c r="O20" s="165">
        <f t="shared" si="4"/>
        <v>29241</v>
      </c>
      <c r="P20" s="163">
        <f t="shared" si="4"/>
        <v>29241</v>
      </c>
    </row>
    <row r="21" spans="1:16" ht="13.9" x14ac:dyDescent="0.25">
      <c r="A21" s="155" t="s">
        <v>209</v>
      </c>
      <c r="B21" s="160">
        <f>'[1]Enrol Staff &amp; Exp'!H66</f>
        <v>72503.999999999985</v>
      </c>
      <c r="C21" s="160">
        <f t="shared" si="1"/>
        <v>42052.319999999992</v>
      </c>
      <c r="D21" s="161">
        <f t="shared" si="3"/>
        <v>30451.679999999997</v>
      </c>
      <c r="E21" s="165"/>
      <c r="F21" s="163"/>
      <c r="G21" s="163"/>
      <c r="H21" s="163">
        <f>([1]Summary!F49*0.42)/9</f>
        <v>3383.5199999999991</v>
      </c>
      <c r="I21" s="166">
        <f t="shared" si="4"/>
        <v>3383.5199999999991</v>
      </c>
      <c r="J21" s="166">
        <f t="shared" si="4"/>
        <v>3383.5199999999991</v>
      </c>
      <c r="K21" s="166">
        <f t="shared" si="4"/>
        <v>3383.5199999999991</v>
      </c>
      <c r="L21" s="166">
        <f t="shared" si="4"/>
        <v>3383.5199999999991</v>
      </c>
      <c r="M21" s="166">
        <f t="shared" si="4"/>
        <v>3383.5199999999991</v>
      </c>
      <c r="N21" s="166">
        <f t="shared" si="4"/>
        <v>3383.5199999999991</v>
      </c>
      <c r="O21" s="166">
        <f t="shared" si="4"/>
        <v>3383.5199999999991</v>
      </c>
      <c r="P21" s="163">
        <f t="shared" si="4"/>
        <v>3383.5199999999991</v>
      </c>
    </row>
    <row r="22" spans="1:16" ht="13.9" x14ac:dyDescent="0.25">
      <c r="A22" s="155" t="s">
        <v>210</v>
      </c>
      <c r="B22" s="160">
        <f>'[1]Enrol Staff &amp; Exp'!H67</f>
        <v>239399.99999999997</v>
      </c>
      <c r="C22" s="160">
        <f t="shared" si="1"/>
        <v>239399.99999999997</v>
      </c>
      <c r="D22" s="161">
        <f t="shared" si="3"/>
        <v>0</v>
      </c>
      <c r="E22" s="165">
        <v>0</v>
      </c>
      <c r="F22" s="163">
        <v>0</v>
      </c>
      <c r="G22" s="163">
        <v>0</v>
      </c>
      <c r="H22" s="163">
        <v>0</v>
      </c>
      <c r="I22" s="166">
        <v>0</v>
      </c>
      <c r="J22" s="163">
        <v>0</v>
      </c>
      <c r="K22" s="163">
        <v>0</v>
      </c>
      <c r="L22" s="163">
        <v>0</v>
      </c>
      <c r="M22" s="166">
        <v>0</v>
      </c>
      <c r="N22" s="163">
        <v>0</v>
      </c>
      <c r="O22" s="163">
        <v>0</v>
      </c>
      <c r="P22" s="163">
        <v>0</v>
      </c>
    </row>
    <row r="23" spans="1:16" ht="13.9" x14ac:dyDescent="0.25">
      <c r="A23" s="155" t="s">
        <v>211</v>
      </c>
      <c r="B23" s="160">
        <f>'[1]Enrol Staff &amp; Exp'!H68</f>
        <v>0</v>
      </c>
      <c r="C23" s="160">
        <f t="shared" si="1"/>
        <v>0</v>
      </c>
      <c r="D23" s="161">
        <f t="shared" si="3"/>
        <v>0</v>
      </c>
      <c r="E23" s="165"/>
      <c r="F23" s="163"/>
      <c r="G23" s="163"/>
      <c r="H23" s="163"/>
      <c r="I23" s="166"/>
      <c r="J23" s="163"/>
      <c r="K23" s="163"/>
      <c r="L23" s="163"/>
      <c r="M23" s="166"/>
      <c r="N23" s="163"/>
      <c r="O23" s="163"/>
      <c r="P23" s="163"/>
    </row>
    <row r="24" spans="1:16" ht="13.9" x14ac:dyDescent="0.25">
      <c r="A24" s="155" t="s">
        <v>212</v>
      </c>
      <c r="B24" s="160">
        <f>'[1]Enrol Staff &amp; Exp'!H69</f>
        <v>0</v>
      </c>
      <c r="C24" s="160">
        <f t="shared" si="1"/>
        <v>0</v>
      </c>
      <c r="D24" s="161">
        <f t="shared" si="3"/>
        <v>0</v>
      </c>
      <c r="E24" s="165"/>
      <c r="F24" s="163"/>
      <c r="G24" s="163"/>
      <c r="H24" s="163"/>
      <c r="I24" s="166"/>
      <c r="J24" s="163"/>
      <c r="K24" s="163"/>
      <c r="L24" s="163"/>
      <c r="M24" s="166"/>
      <c r="N24" s="163"/>
      <c r="O24" s="163"/>
      <c r="P24" s="163"/>
    </row>
    <row r="25" spans="1:16" ht="13.9" x14ac:dyDescent="0.25">
      <c r="A25" s="155" t="s">
        <v>213</v>
      </c>
      <c r="B25" s="160">
        <f>'[1]Enrol Staff &amp; Exp'!H70</f>
        <v>0</v>
      </c>
      <c r="C25" s="160">
        <f t="shared" si="1"/>
        <v>0</v>
      </c>
      <c r="D25" s="161">
        <f t="shared" si="3"/>
        <v>0</v>
      </c>
      <c r="E25" s="165"/>
      <c r="F25" s="163"/>
      <c r="G25" s="163"/>
      <c r="H25" s="163"/>
      <c r="I25" s="166"/>
      <c r="J25" s="163"/>
      <c r="K25" s="163"/>
      <c r="L25" s="163"/>
      <c r="M25" s="166"/>
      <c r="N25" s="163"/>
      <c r="O25" s="163"/>
      <c r="P25" s="163"/>
    </row>
    <row r="26" spans="1:16" ht="13.9" x14ac:dyDescent="0.25">
      <c r="A26" s="155" t="s">
        <v>214</v>
      </c>
      <c r="B26" s="160">
        <f>'[1]Enrol Staff &amp; Exp'!H71</f>
        <v>0</v>
      </c>
      <c r="C26" s="160">
        <f t="shared" si="1"/>
        <v>0</v>
      </c>
      <c r="D26" s="161">
        <f t="shared" si="3"/>
        <v>0</v>
      </c>
      <c r="E26" s="165"/>
      <c r="F26" s="163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0</v>
      </c>
      <c r="L26" s="163">
        <v>0</v>
      </c>
      <c r="M26" s="163">
        <v>0</v>
      </c>
      <c r="N26" s="163">
        <v>0</v>
      </c>
      <c r="O26" s="163">
        <v>0</v>
      </c>
      <c r="P26" s="163"/>
    </row>
    <row r="27" spans="1:16" ht="13.9" x14ac:dyDescent="0.25">
      <c r="A27" s="155" t="s">
        <v>215</v>
      </c>
      <c r="B27" s="160">
        <f>'[1]Enrol Staff &amp; Exp'!H72</f>
        <v>0</v>
      </c>
      <c r="C27" s="160">
        <f t="shared" si="1"/>
        <v>0</v>
      </c>
      <c r="D27" s="161">
        <f t="shared" si="3"/>
        <v>0</v>
      </c>
      <c r="E27" s="165"/>
      <c r="F27" s="163"/>
      <c r="G27" s="163"/>
      <c r="H27" s="163"/>
      <c r="I27" s="166"/>
      <c r="J27" s="163"/>
      <c r="K27" s="163"/>
      <c r="L27" s="163"/>
      <c r="M27" s="166"/>
      <c r="N27" s="163"/>
      <c r="O27" s="163"/>
      <c r="P27" s="163"/>
    </row>
    <row r="28" spans="1:16" ht="13.9" x14ac:dyDescent="0.25">
      <c r="A28" s="155" t="s">
        <v>216</v>
      </c>
      <c r="B28" s="167">
        <f>'[1]Enrol Staff &amp; Exp'!H73</f>
        <v>0</v>
      </c>
      <c r="C28" s="167">
        <f t="shared" si="1"/>
        <v>0</v>
      </c>
      <c r="D28" s="161">
        <f t="shared" si="3"/>
        <v>0</v>
      </c>
      <c r="E28" s="165"/>
      <c r="F28" s="163">
        <v>0</v>
      </c>
      <c r="G28" s="163">
        <v>0</v>
      </c>
      <c r="H28" s="163"/>
      <c r="I28" s="166"/>
      <c r="J28" s="163"/>
      <c r="K28" s="163"/>
      <c r="L28" s="163"/>
      <c r="M28" s="166"/>
      <c r="N28" s="163"/>
      <c r="O28" s="163"/>
      <c r="P28" s="163"/>
    </row>
    <row r="29" spans="1:16" ht="13.9" x14ac:dyDescent="0.25">
      <c r="A29" s="155" t="s">
        <v>217</v>
      </c>
      <c r="B29" s="167">
        <f>+'[1]Enrol Staff &amp; Exp'!H74</f>
        <v>0</v>
      </c>
      <c r="C29" s="167">
        <f t="shared" si="1"/>
        <v>0</v>
      </c>
      <c r="D29" s="161">
        <f t="shared" si="3"/>
        <v>0</v>
      </c>
      <c r="E29" s="168">
        <v>0</v>
      </c>
      <c r="F29" s="169"/>
      <c r="G29" s="169"/>
      <c r="H29" s="169"/>
      <c r="I29" s="169"/>
      <c r="J29" s="169"/>
      <c r="K29" s="169">
        <v>0</v>
      </c>
      <c r="L29" s="169"/>
      <c r="M29" s="169"/>
      <c r="N29" s="169"/>
      <c r="O29" s="169"/>
      <c r="P29" s="169"/>
    </row>
    <row r="30" spans="1:16" ht="14.45" thickBot="1" x14ac:dyDescent="0.3">
      <c r="A30" s="145" t="s">
        <v>218</v>
      </c>
      <c r="B30" s="170">
        <f>+'[1]Enrol Staff &amp; Exp'!H75</f>
        <v>5062234.4598090276</v>
      </c>
      <c r="C30" s="170">
        <f t="shared" si="1"/>
        <v>662497.3200000003</v>
      </c>
      <c r="D30" s="171">
        <f t="shared" ref="D30:P30" si="5">SUM(D14:D29)</f>
        <v>4399737.1398090273</v>
      </c>
      <c r="E30" s="170">
        <f t="shared" si="5"/>
        <v>0</v>
      </c>
      <c r="F30" s="170">
        <f t="shared" si="5"/>
        <v>370625.04180082068</v>
      </c>
      <c r="G30" s="170">
        <f t="shared" si="5"/>
        <v>399866.04180082068</v>
      </c>
      <c r="H30" s="170">
        <f t="shared" si="5"/>
        <v>403249.56180082069</v>
      </c>
      <c r="I30" s="170">
        <f t="shared" si="5"/>
        <v>403249.56180082069</v>
      </c>
      <c r="J30" s="170">
        <f t="shared" si="5"/>
        <v>403249.56180082069</v>
      </c>
      <c r="K30" s="170">
        <f t="shared" si="5"/>
        <v>403249.56180082069</v>
      </c>
      <c r="L30" s="170">
        <f t="shared" si="5"/>
        <v>403249.56180082069</v>
      </c>
      <c r="M30" s="170">
        <f t="shared" si="5"/>
        <v>403249.56180082069</v>
      </c>
      <c r="N30" s="170">
        <f t="shared" si="5"/>
        <v>403249.56180082069</v>
      </c>
      <c r="O30" s="170">
        <f t="shared" si="5"/>
        <v>403249.56180082069</v>
      </c>
      <c r="P30" s="170">
        <f t="shared" si="5"/>
        <v>403249.56180082069</v>
      </c>
    </row>
    <row r="31" spans="1:16" thickTop="1" x14ac:dyDescent="0.3">
      <c r="A31" s="145" t="s">
        <v>219</v>
      </c>
      <c r="B31" s="145"/>
      <c r="C31" s="172" t="str">
        <f>IF(ABS(C30)&gt;(0.0025*D30),"!*!*!",0)</f>
        <v>!*!*!</v>
      </c>
      <c r="D31" s="173"/>
      <c r="E31" s="173">
        <f>E30</f>
        <v>0</v>
      </c>
      <c r="F31" s="174">
        <f t="shared" ref="F31:P31" si="6">E31+F30</f>
        <v>370625.04180082068</v>
      </c>
      <c r="G31" s="174">
        <f t="shared" si="6"/>
        <v>770491.08360164135</v>
      </c>
      <c r="H31" s="174">
        <f t="shared" si="6"/>
        <v>1173740.645402462</v>
      </c>
      <c r="I31" s="174">
        <f t="shared" si="6"/>
        <v>1576990.2072032827</v>
      </c>
      <c r="J31" s="174">
        <f t="shared" si="6"/>
        <v>1980239.7690041035</v>
      </c>
      <c r="K31" s="174">
        <f t="shared" si="6"/>
        <v>2383489.330804924</v>
      </c>
      <c r="L31" s="174">
        <f t="shared" si="6"/>
        <v>2786738.8926057448</v>
      </c>
      <c r="M31" s="174">
        <f t="shared" si="6"/>
        <v>3189988.4544065655</v>
      </c>
      <c r="N31" s="174">
        <f t="shared" si="6"/>
        <v>3593238.0162073863</v>
      </c>
      <c r="O31" s="174">
        <f t="shared" si="6"/>
        <v>3996487.578008207</v>
      </c>
      <c r="P31" s="174">
        <f t="shared" si="6"/>
        <v>4399737.1398090273</v>
      </c>
    </row>
    <row r="32" spans="1:16" ht="13.9" x14ac:dyDescent="0.25">
      <c r="A32" s="175" t="s">
        <v>220</v>
      </c>
      <c r="B32" s="175"/>
      <c r="C32" s="176"/>
      <c r="D32" s="177"/>
      <c r="E32" s="178">
        <f t="shared" ref="E32:P32" si="7">E31/$D30</f>
        <v>0</v>
      </c>
      <c r="F32" s="179">
        <f t="shared" si="7"/>
        <v>8.4237996503788368E-2</v>
      </c>
      <c r="G32" s="179">
        <f t="shared" si="7"/>
        <v>0.17512207186884007</v>
      </c>
      <c r="H32" s="179">
        <f t="shared" si="7"/>
        <v>0.26677517499452452</v>
      </c>
      <c r="I32" s="179">
        <f t="shared" si="7"/>
        <v>0.35842827812020894</v>
      </c>
      <c r="J32" s="179">
        <f t="shared" si="7"/>
        <v>0.45008138124589342</v>
      </c>
      <c r="K32" s="179">
        <f t="shared" si="7"/>
        <v>0.54173448437157778</v>
      </c>
      <c r="L32" s="179">
        <f t="shared" si="7"/>
        <v>0.63338758749726232</v>
      </c>
      <c r="M32" s="179">
        <f t="shared" si="7"/>
        <v>0.72504069062294674</v>
      </c>
      <c r="N32" s="179">
        <f t="shared" si="7"/>
        <v>0.81669379374863116</v>
      </c>
      <c r="O32" s="179">
        <f t="shared" si="7"/>
        <v>0.90834689687431569</v>
      </c>
      <c r="P32" s="179">
        <f t="shared" si="7"/>
        <v>1</v>
      </c>
    </row>
    <row r="33" spans="1:16" ht="13.9" x14ac:dyDescent="0.25">
      <c r="A33" s="136"/>
      <c r="B33" s="136"/>
      <c r="C33" s="136"/>
      <c r="D33" s="177"/>
      <c r="E33" s="180"/>
      <c r="F33" s="181"/>
      <c r="G33" s="181"/>
      <c r="H33" s="181"/>
      <c r="I33" s="182"/>
      <c r="J33" s="181"/>
      <c r="K33" s="181"/>
      <c r="L33" s="181"/>
      <c r="M33" s="182"/>
      <c r="N33" s="181"/>
      <c r="O33" s="181"/>
      <c r="P33" s="181"/>
    </row>
    <row r="34" spans="1:16" ht="14.25" customHeight="1" x14ac:dyDescent="0.25">
      <c r="A34" s="183" t="s">
        <v>221</v>
      </c>
      <c r="B34" s="183"/>
      <c r="C34" s="183"/>
      <c r="D34" s="184"/>
      <c r="E34" s="185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</row>
    <row r="35" spans="1:16" ht="13.9" x14ac:dyDescent="0.25">
      <c r="A35" s="136" t="s">
        <v>164</v>
      </c>
      <c r="B35" s="187">
        <f>'[1]Enrol Staff &amp; Exp'!H421</f>
        <v>1545600</v>
      </c>
      <c r="C35" s="156">
        <f t="shared" ref="C35:C54" si="8">+B35-D35</f>
        <v>0</v>
      </c>
      <c r="D35" s="157">
        <f t="shared" ref="D35:D54" si="9">SUM(E35:P35)</f>
        <v>1545599.9999999998</v>
      </c>
      <c r="E35" s="162">
        <v>0</v>
      </c>
      <c r="F35" s="162">
        <f>1545600/11</f>
        <v>140509.09090909091</v>
      </c>
      <c r="G35" s="162">
        <f t="shared" ref="G35:P36" si="10">F35</f>
        <v>140509.09090909091</v>
      </c>
      <c r="H35" s="162">
        <f t="shared" si="10"/>
        <v>140509.09090909091</v>
      </c>
      <c r="I35" s="162">
        <f t="shared" si="10"/>
        <v>140509.09090909091</v>
      </c>
      <c r="J35" s="162">
        <f t="shared" si="10"/>
        <v>140509.09090909091</v>
      </c>
      <c r="K35" s="162">
        <f t="shared" si="10"/>
        <v>140509.09090909091</v>
      </c>
      <c r="L35" s="162">
        <f t="shared" si="10"/>
        <v>140509.09090909091</v>
      </c>
      <c r="M35" s="162">
        <f t="shared" si="10"/>
        <v>140509.09090909091</v>
      </c>
      <c r="N35" s="162">
        <f t="shared" si="10"/>
        <v>140509.09090909091</v>
      </c>
      <c r="O35" s="162">
        <f t="shared" si="10"/>
        <v>140509.09090909091</v>
      </c>
      <c r="P35" s="162">
        <f t="shared" si="10"/>
        <v>140509.09090909091</v>
      </c>
    </row>
    <row r="36" spans="1:16" ht="13.9" x14ac:dyDescent="0.25">
      <c r="A36" s="155" t="s">
        <v>152</v>
      </c>
      <c r="B36" s="160">
        <f>'[1]Enrol Staff &amp; Exp'!H1343</f>
        <v>721003.84800000011</v>
      </c>
      <c r="C36" s="160">
        <f t="shared" si="8"/>
        <v>-0.15199999965261668</v>
      </c>
      <c r="D36" s="161">
        <f t="shared" si="9"/>
        <v>721003.99999999977</v>
      </c>
      <c r="E36" s="162">
        <v>0</v>
      </c>
      <c r="F36" s="162">
        <f>721004/11</f>
        <v>65545.818181818177</v>
      </c>
      <c r="G36" s="162">
        <f t="shared" si="10"/>
        <v>65545.818181818177</v>
      </c>
      <c r="H36" s="162">
        <f t="shared" si="10"/>
        <v>65545.818181818177</v>
      </c>
      <c r="I36" s="162">
        <f t="shared" si="10"/>
        <v>65545.818181818177</v>
      </c>
      <c r="J36" s="162">
        <f t="shared" si="10"/>
        <v>65545.818181818177</v>
      </c>
      <c r="K36" s="162">
        <f t="shared" si="10"/>
        <v>65545.818181818177</v>
      </c>
      <c r="L36" s="162">
        <f t="shared" si="10"/>
        <v>65545.818181818177</v>
      </c>
      <c r="M36" s="162">
        <f t="shared" si="10"/>
        <v>65545.818181818177</v>
      </c>
      <c r="N36" s="162">
        <f t="shared" si="10"/>
        <v>65545.818181818177</v>
      </c>
      <c r="O36" s="162">
        <f t="shared" si="10"/>
        <v>65545.818181818177</v>
      </c>
      <c r="P36" s="162">
        <f t="shared" si="10"/>
        <v>65545.818181818177</v>
      </c>
    </row>
    <row r="37" spans="1:16" ht="13.9" x14ac:dyDescent="0.25">
      <c r="A37" s="155" t="s">
        <v>222</v>
      </c>
      <c r="B37" s="160">
        <f>+'[1]Enrol Staff &amp; Exp'!H1368</f>
        <v>0</v>
      </c>
      <c r="C37" s="160">
        <f t="shared" si="8"/>
        <v>0</v>
      </c>
      <c r="D37" s="161">
        <f>SUM(E37:P37)</f>
        <v>0</v>
      </c>
      <c r="E37" s="162">
        <v>0</v>
      </c>
      <c r="F37" s="162">
        <v>0</v>
      </c>
      <c r="G37" s="162">
        <v>0</v>
      </c>
      <c r="H37" s="162">
        <v>0</v>
      </c>
      <c r="I37" s="162">
        <v>0</v>
      </c>
      <c r="J37" s="162">
        <v>0</v>
      </c>
      <c r="K37" s="162">
        <v>0</v>
      </c>
      <c r="L37" s="162">
        <v>0</v>
      </c>
      <c r="M37" s="162">
        <v>0</v>
      </c>
      <c r="N37" s="162">
        <v>0</v>
      </c>
      <c r="O37" s="162">
        <v>0</v>
      </c>
      <c r="P37" s="162">
        <v>0</v>
      </c>
    </row>
    <row r="38" spans="1:16" ht="13.9" x14ac:dyDescent="0.25">
      <c r="A38" s="155" t="s">
        <v>223</v>
      </c>
      <c r="B38" s="160">
        <f>+'[1]Enrol Staff &amp; Exp'!H1370</f>
        <v>0</v>
      </c>
      <c r="C38" s="160">
        <f t="shared" si="8"/>
        <v>0</v>
      </c>
      <c r="D38" s="161">
        <f>SUM(E38:P38)</f>
        <v>0</v>
      </c>
      <c r="E38" s="162">
        <v>0</v>
      </c>
      <c r="F38" s="162">
        <v>0</v>
      </c>
      <c r="G38" s="162">
        <v>0</v>
      </c>
      <c r="H38" s="162">
        <v>0</v>
      </c>
      <c r="I38" s="162">
        <v>0</v>
      </c>
      <c r="J38" s="162">
        <v>0</v>
      </c>
      <c r="K38" s="162">
        <v>0</v>
      </c>
      <c r="L38" s="162">
        <v>0</v>
      </c>
      <c r="M38" s="162">
        <v>0</v>
      </c>
      <c r="N38" s="162">
        <v>0</v>
      </c>
      <c r="O38" s="162">
        <v>0</v>
      </c>
      <c r="P38" s="162">
        <v>0</v>
      </c>
    </row>
    <row r="39" spans="1:16" ht="13.9" x14ac:dyDescent="0.25">
      <c r="A39" s="155" t="s">
        <v>107</v>
      </c>
      <c r="B39" s="160">
        <f>+'[1]Enrol Staff &amp; Exp'!H1372</f>
        <v>8640</v>
      </c>
      <c r="C39" s="160">
        <f t="shared" si="8"/>
        <v>0</v>
      </c>
      <c r="D39" s="161">
        <f>SUM(E39:P39)</f>
        <v>8640.0000000000018</v>
      </c>
      <c r="E39" s="162">
        <v>0</v>
      </c>
      <c r="F39" s="162">
        <f>8640/11</f>
        <v>785.4545454545455</v>
      </c>
      <c r="G39" s="162">
        <f t="shared" ref="G39:P42" si="11">F39</f>
        <v>785.4545454545455</v>
      </c>
      <c r="H39" s="162">
        <f t="shared" si="11"/>
        <v>785.4545454545455</v>
      </c>
      <c r="I39" s="162">
        <f t="shared" si="11"/>
        <v>785.4545454545455</v>
      </c>
      <c r="J39" s="162">
        <f t="shared" si="11"/>
        <v>785.4545454545455</v>
      </c>
      <c r="K39" s="162">
        <f t="shared" si="11"/>
        <v>785.4545454545455</v>
      </c>
      <c r="L39" s="162">
        <f t="shared" si="11"/>
        <v>785.4545454545455</v>
      </c>
      <c r="M39" s="162">
        <f t="shared" si="11"/>
        <v>785.4545454545455</v>
      </c>
      <c r="N39" s="162">
        <f t="shared" si="11"/>
        <v>785.4545454545455</v>
      </c>
      <c r="O39" s="162">
        <f t="shared" si="11"/>
        <v>785.4545454545455</v>
      </c>
      <c r="P39" s="162">
        <f t="shared" si="11"/>
        <v>785.4545454545455</v>
      </c>
    </row>
    <row r="40" spans="1:16" ht="13.9" x14ac:dyDescent="0.25">
      <c r="A40" s="155" t="s">
        <v>165</v>
      </c>
      <c r="B40" s="160">
        <f>'[1]Enrol Staff &amp; Exp'!H1418</f>
        <v>386031.81478287623</v>
      </c>
      <c r="C40" s="160">
        <f t="shared" si="8"/>
        <v>-0.18521712388610467</v>
      </c>
      <c r="D40" s="161">
        <f>SUM(E40:P40)</f>
        <v>386032.00000000012</v>
      </c>
      <c r="E40" s="162">
        <v>0</v>
      </c>
      <c r="F40" s="162">
        <f>386032-186032</f>
        <v>200000</v>
      </c>
      <c r="G40" s="162">
        <f>186032/10</f>
        <v>18603.2</v>
      </c>
      <c r="H40" s="162">
        <f t="shared" si="11"/>
        <v>18603.2</v>
      </c>
      <c r="I40" s="162">
        <f t="shared" si="11"/>
        <v>18603.2</v>
      </c>
      <c r="J40" s="162">
        <f t="shared" si="11"/>
        <v>18603.2</v>
      </c>
      <c r="K40" s="162">
        <f t="shared" si="11"/>
        <v>18603.2</v>
      </c>
      <c r="L40" s="162">
        <f t="shared" si="11"/>
        <v>18603.2</v>
      </c>
      <c r="M40" s="162">
        <f t="shared" si="11"/>
        <v>18603.2</v>
      </c>
      <c r="N40" s="162">
        <f t="shared" si="11"/>
        <v>18603.2</v>
      </c>
      <c r="O40" s="162">
        <f t="shared" si="11"/>
        <v>18603.2</v>
      </c>
      <c r="P40" s="162">
        <f t="shared" si="11"/>
        <v>18603.2</v>
      </c>
    </row>
    <row r="41" spans="1:16" ht="13.9" x14ac:dyDescent="0.25">
      <c r="A41" s="155" t="s">
        <v>166</v>
      </c>
      <c r="B41" s="160">
        <f>+'[1]Enrol Staff &amp; Exp'!H1426</f>
        <v>25000</v>
      </c>
      <c r="C41" s="160">
        <f t="shared" si="8"/>
        <v>-269000</v>
      </c>
      <c r="D41" s="161">
        <f t="shared" si="9"/>
        <v>294000</v>
      </c>
      <c r="E41" s="162">
        <v>0</v>
      </c>
      <c r="F41" s="162">
        <f>(25000+'[1]EMO-CMO'!F19+'[1]EMO-CMO'!F29)/11</f>
        <v>26727.272727272728</v>
      </c>
      <c r="G41" s="162">
        <f>F41</f>
        <v>26727.272727272728</v>
      </c>
      <c r="H41" s="162">
        <f t="shared" si="11"/>
        <v>26727.272727272728</v>
      </c>
      <c r="I41" s="162">
        <f t="shared" si="11"/>
        <v>26727.272727272728</v>
      </c>
      <c r="J41" s="162">
        <f t="shared" si="11"/>
        <v>26727.272727272728</v>
      </c>
      <c r="K41" s="162">
        <f t="shared" si="11"/>
        <v>26727.272727272728</v>
      </c>
      <c r="L41" s="162">
        <f t="shared" si="11"/>
        <v>26727.272727272728</v>
      </c>
      <c r="M41" s="162">
        <f t="shared" si="11"/>
        <v>26727.272727272728</v>
      </c>
      <c r="N41" s="162">
        <f t="shared" si="11"/>
        <v>26727.272727272728</v>
      </c>
      <c r="O41" s="162">
        <f t="shared" si="11"/>
        <v>26727.272727272728</v>
      </c>
      <c r="P41" s="162">
        <f t="shared" si="11"/>
        <v>26727.272727272728</v>
      </c>
    </row>
    <row r="42" spans="1:16" ht="13.9" x14ac:dyDescent="0.25">
      <c r="A42" s="155" t="s">
        <v>167</v>
      </c>
      <c r="B42" s="160">
        <f>+'[1]Enrol Staff &amp; Exp'!H1435</f>
        <v>256500</v>
      </c>
      <c r="C42" s="160">
        <f t="shared" si="8"/>
        <v>0</v>
      </c>
      <c r="D42" s="161">
        <f t="shared" si="9"/>
        <v>256500</v>
      </c>
      <c r="E42" s="162">
        <v>0</v>
      </c>
      <c r="F42" s="162">
        <v>0</v>
      </c>
      <c r="G42" s="162">
        <f>256500/10</f>
        <v>25650</v>
      </c>
      <c r="H42" s="162">
        <f t="shared" si="11"/>
        <v>25650</v>
      </c>
      <c r="I42" s="162">
        <f t="shared" si="11"/>
        <v>25650</v>
      </c>
      <c r="J42" s="162">
        <f t="shared" si="11"/>
        <v>25650</v>
      </c>
      <c r="K42" s="162">
        <f t="shared" si="11"/>
        <v>25650</v>
      </c>
      <c r="L42" s="162">
        <f t="shared" si="11"/>
        <v>25650</v>
      </c>
      <c r="M42" s="162">
        <f t="shared" si="11"/>
        <v>25650</v>
      </c>
      <c r="N42" s="162">
        <f t="shared" si="11"/>
        <v>25650</v>
      </c>
      <c r="O42" s="162">
        <f t="shared" si="11"/>
        <v>25650</v>
      </c>
      <c r="P42" s="162">
        <f t="shared" si="11"/>
        <v>25650</v>
      </c>
    </row>
    <row r="43" spans="1:16" ht="13.9" x14ac:dyDescent="0.25">
      <c r="A43" s="155" t="s">
        <v>224</v>
      </c>
      <c r="B43" s="160">
        <f>'[1]Enrol Staff &amp; Exp'!H1464</f>
        <v>0</v>
      </c>
      <c r="C43" s="160">
        <f t="shared" si="8"/>
        <v>0</v>
      </c>
      <c r="D43" s="161">
        <f t="shared" si="9"/>
        <v>0</v>
      </c>
      <c r="E43" s="162">
        <v>0</v>
      </c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  <c r="M43" s="162">
        <v>0</v>
      </c>
      <c r="N43" s="162">
        <v>0</v>
      </c>
      <c r="O43" s="162">
        <v>0</v>
      </c>
      <c r="P43" s="162">
        <v>0</v>
      </c>
    </row>
    <row r="44" spans="1:16" ht="13.9" x14ac:dyDescent="0.25">
      <c r="A44" s="188" t="s">
        <v>101</v>
      </c>
      <c r="B44" s="160">
        <f>'[1]Enrol Staff &amp; Exp'!H1581</f>
        <v>0</v>
      </c>
      <c r="C44" s="160">
        <f t="shared" si="8"/>
        <v>0</v>
      </c>
      <c r="D44" s="161">
        <f t="shared" si="9"/>
        <v>0</v>
      </c>
      <c r="E44" s="162">
        <v>0</v>
      </c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62">
        <v>0</v>
      </c>
      <c r="N44" s="162">
        <v>0</v>
      </c>
      <c r="O44" s="162">
        <v>0</v>
      </c>
      <c r="P44" s="162">
        <v>0</v>
      </c>
    </row>
    <row r="45" spans="1:16" ht="13.9" x14ac:dyDescent="0.25">
      <c r="A45" s="189" t="s">
        <v>225</v>
      </c>
      <c r="B45" s="160">
        <f>[1]Marketing!I44</f>
        <v>0</v>
      </c>
      <c r="C45" s="160">
        <f t="shared" si="8"/>
        <v>0</v>
      </c>
      <c r="D45" s="161">
        <f t="shared" si="9"/>
        <v>0</v>
      </c>
      <c r="E45" s="162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162">
        <v>0</v>
      </c>
      <c r="N45" s="162">
        <v>0</v>
      </c>
      <c r="O45" s="162">
        <v>0</v>
      </c>
      <c r="P45" s="162">
        <v>0</v>
      </c>
    </row>
    <row r="46" spans="1:16" ht="13.9" x14ac:dyDescent="0.25">
      <c r="A46" s="155" t="s">
        <v>168</v>
      </c>
      <c r="B46" s="160">
        <f>[1]Facilities!H74</f>
        <v>820000</v>
      </c>
      <c r="C46" s="160">
        <f t="shared" si="8"/>
        <v>-190.99999999976717</v>
      </c>
      <c r="D46" s="161">
        <f t="shared" si="9"/>
        <v>820190.99999999977</v>
      </c>
      <c r="E46" s="162">
        <v>0</v>
      </c>
      <c r="F46" s="162">
        <f>820191/11</f>
        <v>74562.818181818177</v>
      </c>
      <c r="G46" s="162">
        <f t="shared" ref="G46:P50" si="12">F46</f>
        <v>74562.818181818177</v>
      </c>
      <c r="H46" s="162">
        <f t="shared" si="12"/>
        <v>74562.818181818177</v>
      </c>
      <c r="I46" s="162">
        <f t="shared" si="12"/>
        <v>74562.818181818177</v>
      </c>
      <c r="J46" s="162">
        <f t="shared" si="12"/>
        <v>74562.818181818177</v>
      </c>
      <c r="K46" s="162">
        <f t="shared" si="12"/>
        <v>74562.818181818177</v>
      </c>
      <c r="L46" s="162">
        <f t="shared" si="12"/>
        <v>74562.818181818177</v>
      </c>
      <c r="M46" s="162">
        <f t="shared" si="12"/>
        <v>74562.818181818177</v>
      </c>
      <c r="N46" s="162">
        <f t="shared" si="12"/>
        <v>74562.818181818177</v>
      </c>
      <c r="O46" s="162">
        <f t="shared" si="12"/>
        <v>74562.818181818177</v>
      </c>
      <c r="P46" s="162">
        <f t="shared" si="12"/>
        <v>74562.818181818177</v>
      </c>
    </row>
    <row r="47" spans="1:16" ht="13.9" x14ac:dyDescent="0.25">
      <c r="A47" s="155" t="s">
        <v>169</v>
      </c>
      <c r="B47" s="160">
        <f>[1]Facilities!H75</f>
        <v>83991.6</v>
      </c>
      <c r="C47" s="160">
        <f t="shared" si="8"/>
        <v>-0.40000000002328306</v>
      </c>
      <c r="D47" s="161">
        <f t="shared" si="9"/>
        <v>83992.000000000029</v>
      </c>
      <c r="E47" s="162"/>
      <c r="F47" s="162">
        <f>83992/11</f>
        <v>7635.636363636364</v>
      </c>
      <c r="G47" s="162">
        <f t="shared" si="12"/>
        <v>7635.636363636364</v>
      </c>
      <c r="H47" s="162">
        <f t="shared" si="12"/>
        <v>7635.636363636364</v>
      </c>
      <c r="I47" s="162">
        <f t="shared" si="12"/>
        <v>7635.636363636364</v>
      </c>
      <c r="J47" s="162">
        <f t="shared" si="12"/>
        <v>7635.636363636364</v>
      </c>
      <c r="K47" s="162">
        <f t="shared" si="12"/>
        <v>7635.636363636364</v>
      </c>
      <c r="L47" s="162">
        <f t="shared" si="12"/>
        <v>7635.636363636364</v>
      </c>
      <c r="M47" s="162">
        <f t="shared" si="12"/>
        <v>7635.636363636364</v>
      </c>
      <c r="N47" s="162">
        <f t="shared" si="12"/>
        <v>7635.636363636364</v>
      </c>
      <c r="O47" s="162">
        <f t="shared" si="12"/>
        <v>7635.636363636364</v>
      </c>
      <c r="P47" s="162">
        <f t="shared" si="12"/>
        <v>7635.636363636364</v>
      </c>
    </row>
    <row r="48" spans="1:16" ht="13.9" x14ac:dyDescent="0.25">
      <c r="A48" s="155" t="s">
        <v>170</v>
      </c>
      <c r="B48" s="160">
        <f>[1]Facilities!H76</f>
        <v>111352.5</v>
      </c>
      <c r="C48" s="160">
        <f t="shared" si="8"/>
        <v>-0.5</v>
      </c>
      <c r="D48" s="161">
        <f t="shared" si="9"/>
        <v>111353</v>
      </c>
      <c r="E48" s="162">
        <v>0</v>
      </c>
      <c r="F48" s="162">
        <f>111353/11</f>
        <v>10123</v>
      </c>
      <c r="G48" s="162">
        <f t="shared" si="12"/>
        <v>10123</v>
      </c>
      <c r="H48" s="162">
        <f t="shared" si="12"/>
        <v>10123</v>
      </c>
      <c r="I48" s="162">
        <f t="shared" si="12"/>
        <v>10123</v>
      </c>
      <c r="J48" s="162">
        <f t="shared" si="12"/>
        <v>10123</v>
      </c>
      <c r="K48" s="162">
        <f t="shared" si="12"/>
        <v>10123</v>
      </c>
      <c r="L48" s="162">
        <f t="shared" si="12"/>
        <v>10123</v>
      </c>
      <c r="M48" s="162">
        <f t="shared" si="12"/>
        <v>10123</v>
      </c>
      <c r="N48" s="162">
        <f t="shared" si="12"/>
        <v>10123</v>
      </c>
      <c r="O48" s="162">
        <f t="shared" si="12"/>
        <v>10123</v>
      </c>
      <c r="P48" s="162">
        <f t="shared" si="12"/>
        <v>10123</v>
      </c>
    </row>
    <row r="49" spans="1:16" x14ac:dyDescent="0.25">
      <c r="A49" s="188" t="s">
        <v>171</v>
      </c>
      <c r="B49" s="160">
        <f>[1]Facilities!H77</f>
        <v>31815</v>
      </c>
      <c r="C49" s="160">
        <f t="shared" si="8"/>
        <v>0</v>
      </c>
      <c r="D49" s="161">
        <f t="shared" si="9"/>
        <v>31815.000000000004</v>
      </c>
      <c r="E49" s="162">
        <v>0</v>
      </c>
      <c r="F49" s="162">
        <f>31815/11</f>
        <v>2892.2727272727275</v>
      </c>
      <c r="G49" s="162">
        <f t="shared" si="12"/>
        <v>2892.2727272727275</v>
      </c>
      <c r="H49" s="162">
        <f t="shared" si="12"/>
        <v>2892.2727272727275</v>
      </c>
      <c r="I49" s="162">
        <f t="shared" si="12"/>
        <v>2892.2727272727275</v>
      </c>
      <c r="J49" s="162">
        <f t="shared" si="12"/>
        <v>2892.2727272727275</v>
      </c>
      <c r="K49" s="162">
        <f t="shared" si="12"/>
        <v>2892.2727272727275</v>
      </c>
      <c r="L49" s="162">
        <f t="shared" si="12"/>
        <v>2892.2727272727275</v>
      </c>
      <c r="M49" s="162">
        <f t="shared" si="12"/>
        <v>2892.2727272727275</v>
      </c>
      <c r="N49" s="162">
        <f t="shared" si="12"/>
        <v>2892.2727272727275</v>
      </c>
      <c r="O49" s="162">
        <f t="shared" si="12"/>
        <v>2892.2727272727275</v>
      </c>
      <c r="P49" s="162">
        <f t="shared" si="12"/>
        <v>2892.2727272727275</v>
      </c>
    </row>
    <row r="50" spans="1:16" x14ac:dyDescent="0.25">
      <c r="A50" s="188" t="s">
        <v>172</v>
      </c>
      <c r="B50" s="160">
        <f>[1]Facilities!H78</f>
        <v>8000</v>
      </c>
      <c r="C50" s="160">
        <f t="shared" si="8"/>
        <v>0</v>
      </c>
      <c r="D50" s="161">
        <f t="shared" si="9"/>
        <v>7999.9999999999982</v>
      </c>
      <c r="E50" s="162">
        <v>0</v>
      </c>
      <c r="F50" s="162">
        <f>8000/11</f>
        <v>727.27272727272725</v>
      </c>
      <c r="G50" s="162">
        <f t="shared" si="12"/>
        <v>727.27272727272725</v>
      </c>
      <c r="H50" s="162">
        <f t="shared" si="12"/>
        <v>727.27272727272725</v>
      </c>
      <c r="I50" s="162">
        <f t="shared" si="12"/>
        <v>727.27272727272725</v>
      </c>
      <c r="J50" s="162">
        <f t="shared" si="12"/>
        <v>727.27272727272725</v>
      </c>
      <c r="K50" s="162">
        <f t="shared" si="12"/>
        <v>727.27272727272725</v>
      </c>
      <c r="L50" s="162">
        <f t="shared" si="12"/>
        <v>727.27272727272725</v>
      </c>
      <c r="M50" s="162">
        <f t="shared" si="12"/>
        <v>727.27272727272725</v>
      </c>
      <c r="N50" s="162">
        <f t="shared" si="12"/>
        <v>727.27272727272725</v>
      </c>
      <c r="O50" s="162">
        <f t="shared" si="12"/>
        <v>727.27272727272725</v>
      </c>
      <c r="P50" s="162">
        <f t="shared" si="12"/>
        <v>727.27272727272725</v>
      </c>
    </row>
    <row r="51" spans="1:16" x14ac:dyDescent="0.25">
      <c r="A51" s="188" t="s">
        <v>226</v>
      </c>
      <c r="B51" s="160">
        <f>[1]Facilities!H79</f>
        <v>0</v>
      </c>
      <c r="C51" s="160"/>
      <c r="D51" s="161">
        <f>SUM(E51:P51)</f>
        <v>0</v>
      </c>
      <c r="E51" s="162"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  <c r="M51" s="162">
        <v>0</v>
      </c>
      <c r="N51" s="162">
        <v>0</v>
      </c>
      <c r="O51" s="162">
        <v>0</v>
      </c>
      <c r="P51" s="162">
        <v>0</v>
      </c>
    </row>
    <row r="52" spans="1:16" x14ac:dyDescent="0.25">
      <c r="A52" s="188" t="s">
        <v>227</v>
      </c>
      <c r="B52" s="160">
        <f>[1]Facilities!H80</f>
        <v>0</v>
      </c>
      <c r="C52" s="160"/>
      <c r="D52" s="161">
        <f>SUM(E52:P52)</f>
        <v>0</v>
      </c>
      <c r="E52" s="162">
        <v>0</v>
      </c>
      <c r="F52" s="162">
        <v>0</v>
      </c>
      <c r="G52" s="162">
        <v>0</v>
      </c>
      <c r="H52" s="162">
        <v>0</v>
      </c>
      <c r="I52" s="162">
        <v>0</v>
      </c>
      <c r="J52" s="162">
        <v>0</v>
      </c>
      <c r="K52" s="162">
        <v>0</v>
      </c>
      <c r="L52" s="162">
        <v>0</v>
      </c>
      <c r="M52" s="162">
        <v>0</v>
      </c>
      <c r="N52" s="162">
        <v>0</v>
      </c>
      <c r="O52" s="162">
        <v>0</v>
      </c>
      <c r="P52" s="162">
        <v>0</v>
      </c>
    </row>
    <row r="53" spans="1:16" x14ac:dyDescent="0.25">
      <c r="A53" s="188" t="s">
        <v>173</v>
      </c>
      <c r="B53" s="160">
        <f>+'[1]FFE&amp;T'!H54</f>
        <v>162280</v>
      </c>
      <c r="C53" s="160">
        <f t="shared" si="8"/>
        <v>0</v>
      </c>
      <c r="D53" s="161">
        <f t="shared" si="9"/>
        <v>162279.99999999994</v>
      </c>
      <c r="E53" s="162">
        <v>0</v>
      </c>
      <c r="F53" s="190">
        <f>162280/11</f>
        <v>14752.727272727272</v>
      </c>
      <c r="G53" s="190">
        <f t="shared" ref="G53:P54" si="13">F53</f>
        <v>14752.727272727272</v>
      </c>
      <c r="H53" s="190">
        <f t="shared" si="13"/>
        <v>14752.727272727272</v>
      </c>
      <c r="I53" s="190">
        <f t="shared" si="13"/>
        <v>14752.727272727272</v>
      </c>
      <c r="J53" s="190">
        <f t="shared" si="13"/>
        <v>14752.727272727272</v>
      </c>
      <c r="K53" s="190">
        <f t="shared" si="13"/>
        <v>14752.727272727272</v>
      </c>
      <c r="L53" s="190">
        <f t="shared" si="13"/>
        <v>14752.727272727272</v>
      </c>
      <c r="M53" s="190">
        <f t="shared" si="13"/>
        <v>14752.727272727272</v>
      </c>
      <c r="N53" s="190">
        <f t="shared" si="13"/>
        <v>14752.727272727272</v>
      </c>
      <c r="O53" s="190">
        <f t="shared" si="13"/>
        <v>14752.727272727272</v>
      </c>
      <c r="P53" s="190">
        <f t="shared" si="13"/>
        <v>14752.727272727272</v>
      </c>
    </row>
    <row r="54" spans="1:16" x14ac:dyDescent="0.25">
      <c r="A54" s="188" t="s">
        <v>174</v>
      </c>
      <c r="B54" s="160">
        <f>+[1]Ins!L59</f>
        <v>40000</v>
      </c>
      <c r="C54" s="160">
        <f t="shared" si="8"/>
        <v>0</v>
      </c>
      <c r="D54" s="161">
        <f t="shared" si="9"/>
        <v>40000.000000000007</v>
      </c>
      <c r="E54" s="162">
        <v>0</v>
      </c>
      <c r="F54" s="162">
        <f>40000/11</f>
        <v>3636.3636363636365</v>
      </c>
      <c r="G54" s="162">
        <f t="shared" si="13"/>
        <v>3636.3636363636365</v>
      </c>
      <c r="H54" s="162">
        <f t="shared" si="13"/>
        <v>3636.3636363636365</v>
      </c>
      <c r="I54" s="162">
        <f t="shared" si="13"/>
        <v>3636.3636363636365</v>
      </c>
      <c r="J54" s="162">
        <f t="shared" si="13"/>
        <v>3636.3636363636365</v>
      </c>
      <c r="K54" s="162">
        <f t="shared" si="13"/>
        <v>3636.3636363636365</v>
      </c>
      <c r="L54" s="162">
        <f t="shared" si="13"/>
        <v>3636.3636363636365</v>
      </c>
      <c r="M54" s="162">
        <f t="shared" si="13"/>
        <v>3636.3636363636365</v>
      </c>
      <c r="N54" s="162">
        <f t="shared" si="13"/>
        <v>3636.3636363636365</v>
      </c>
      <c r="O54" s="162">
        <f t="shared" si="13"/>
        <v>3636.3636363636365</v>
      </c>
      <c r="P54" s="162">
        <f t="shared" si="13"/>
        <v>3636.3636363636365</v>
      </c>
    </row>
    <row r="55" spans="1:16" ht="15.75" thickBot="1" x14ac:dyDescent="0.3">
      <c r="A55" s="145" t="s">
        <v>228</v>
      </c>
      <c r="B55" s="191">
        <f>SUM(B35:B54)</f>
        <v>4200214.7627828764</v>
      </c>
      <c r="C55" s="191">
        <f>SUM(C35:C54)</f>
        <v>-269192.23721712333</v>
      </c>
      <c r="D55" s="192">
        <f t="shared" ref="D55:P55" si="14">SUM(D35:D54)</f>
        <v>4469406.9999999991</v>
      </c>
      <c r="E55" s="193">
        <f t="shared" si="14"/>
        <v>0</v>
      </c>
      <c r="F55" s="193">
        <f t="shared" si="14"/>
        <v>547897.72727272718</v>
      </c>
      <c r="G55" s="193">
        <f t="shared" si="14"/>
        <v>392150.92727272731</v>
      </c>
      <c r="H55" s="193">
        <f t="shared" si="14"/>
        <v>392150.92727272731</v>
      </c>
      <c r="I55" s="193">
        <f t="shared" si="14"/>
        <v>392150.92727272731</v>
      </c>
      <c r="J55" s="193">
        <f t="shared" si="14"/>
        <v>392150.92727272731</v>
      </c>
      <c r="K55" s="193">
        <f t="shared" si="14"/>
        <v>392150.92727272731</v>
      </c>
      <c r="L55" s="193">
        <f t="shared" si="14"/>
        <v>392150.92727272731</v>
      </c>
      <c r="M55" s="193">
        <f t="shared" si="14"/>
        <v>392150.92727272731</v>
      </c>
      <c r="N55" s="193">
        <f t="shared" si="14"/>
        <v>392150.92727272731</v>
      </c>
      <c r="O55" s="193">
        <f t="shared" si="14"/>
        <v>392150.92727272731</v>
      </c>
      <c r="P55" s="193">
        <f t="shared" si="14"/>
        <v>392150.92727272731</v>
      </c>
    </row>
    <row r="56" spans="1:16" ht="16.5" thickTop="1" thickBot="1" x14ac:dyDescent="0.3">
      <c r="A56" s="194" t="s">
        <v>229</v>
      </c>
      <c r="B56" s="195"/>
      <c r="C56" s="172" t="str">
        <f>IF(ABS(C55)&gt;(0.0025*D55),"!*!*!",0)</f>
        <v>!*!*!</v>
      </c>
      <c r="D56" s="196">
        <f>SUM(E56:P56)</f>
        <v>-69669.860190972628</v>
      </c>
      <c r="E56" s="196">
        <f t="shared" ref="E56:P56" si="15">E30-E55</f>
        <v>0</v>
      </c>
      <c r="F56" s="196">
        <f t="shared" si="15"/>
        <v>-177272.6854719065</v>
      </c>
      <c r="G56" s="196">
        <f t="shared" si="15"/>
        <v>7715.1145280933706</v>
      </c>
      <c r="H56" s="196">
        <f t="shared" si="15"/>
        <v>11098.634528093389</v>
      </c>
      <c r="I56" s="196">
        <f t="shared" si="15"/>
        <v>11098.634528093389</v>
      </c>
      <c r="J56" s="196">
        <f t="shared" si="15"/>
        <v>11098.634528093389</v>
      </c>
      <c r="K56" s="196">
        <f t="shared" si="15"/>
        <v>11098.634528093389</v>
      </c>
      <c r="L56" s="196">
        <f t="shared" si="15"/>
        <v>11098.634528093389</v>
      </c>
      <c r="M56" s="196">
        <f t="shared" si="15"/>
        <v>11098.634528093389</v>
      </c>
      <c r="N56" s="196">
        <f t="shared" si="15"/>
        <v>11098.634528093389</v>
      </c>
      <c r="O56" s="196">
        <f t="shared" si="15"/>
        <v>11098.634528093389</v>
      </c>
      <c r="P56" s="196">
        <f t="shared" si="15"/>
        <v>11098.634528093389</v>
      </c>
    </row>
    <row r="57" spans="1:16" ht="15.75" thickTop="1" x14ac:dyDescent="0.25">
      <c r="A57" s="145" t="s">
        <v>230</v>
      </c>
      <c r="B57" s="145"/>
      <c r="C57" s="145"/>
      <c r="D57" s="197"/>
      <c r="E57" s="198">
        <f>E55</f>
        <v>0</v>
      </c>
      <c r="F57" s="198">
        <f t="shared" ref="F57:P57" si="16">E57+F55</f>
        <v>547897.72727272718</v>
      </c>
      <c r="G57" s="198">
        <f t="shared" si="16"/>
        <v>940048.65454545454</v>
      </c>
      <c r="H57" s="198">
        <f t="shared" si="16"/>
        <v>1332199.5818181818</v>
      </c>
      <c r="I57" s="198">
        <f t="shared" si="16"/>
        <v>1724350.509090909</v>
      </c>
      <c r="J57" s="198">
        <f t="shared" si="16"/>
        <v>2116501.4363636365</v>
      </c>
      <c r="K57" s="198">
        <f t="shared" si="16"/>
        <v>2508652.3636363638</v>
      </c>
      <c r="L57" s="198">
        <f t="shared" si="16"/>
        <v>2900803.290909091</v>
      </c>
      <c r="M57" s="198">
        <f t="shared" si="16"/>
        <v>3292954.2181818183</v>
      </c>
      <c r="N57" s="198">
        <f t="shared" si="16"/>
        <v>3685105.1454545455</v>
      </c>
      <c r="O57" s="198">
        <f t="shared" si="16"/>
        <v>4077256.0727272728</v>
      </c>
      <c r="P57" s="198">
        <f t="shared" si="16"/>
        <v>4469407</v>
      </c>
    </row>
    <row r="58" spans="1:16" x14ac:dyDescent="0.25">
      <c r="A58" s="175" t="s">
        <v>231</v>
      </c>
      <c r="B58" s="175"/>
      <c r="C58" s="175"/>
      <c r="D58" s="199"/>
      <c r="E58" s="178">
        <f t="shared" ref="E58:P58" si="17">E57/$D55</f>
        <v>0</v>
      </c>
      <c r="F58" s="178">
        <f t="shared" si="17"/>
        <v>0.12258846134906204</v>
      </c>
      <c r="G58" s="178">
        <f t="shared" si="17"/>
        <v>0.21032961521415586</v>
      </c>
      <c r="H58" s="178">
        <f t="shared" si="17"/>
        <v>0.29807076907924968</v>
      </c>
      <c r="I58" s="178">
        <f t="shared" si="17"/>
        <v>0.38581192294434347</v>
      </c>
      <c r="J58" s="178">
        <f t="shared" si="17"/>
        <v>0.47355307680943737</v>
      </c>
      <c r="K58" s="178">
        <f t="shared" si="17"/>
        <v>0.56129423067453121</v>
      </c>
      <c r="L58" s="178">
        <f t="shared" si="17"/>
        <v>0.64903538453962495</v>
      </c>
      <c r="M58" s="178">
        <f t="shared" si="17"/>
        <v>0.73677653840471879</v>
      </c>
      <c r="N58" s="178">
        <f t="shared" si="17"/>
        <v>0.82451769226981264</v>
      </c>
      <c r="O58" s="178">
        <f t="shared" si="17"/>
        <v>0.91225884613490638</v>
      </c>
      <c r="P58" s="178">
        <f t="shared" si="17"/>
        <v>1.0000000000000002</v>
      </c>
    </row>
    <row r="59" spans="1:16" x14ac:dyDescent="0.25">
      <c r="A59" s="145" t="s">
        <v>232</v>
      </c>
      <c r="B59" s="145"/>
      <c r="C59" s="145"/>
      <c r="D59" s="200"/>
      <c r="E59" s="201" t="e">
        <f t="shared" ref="E59:P59" si="18">+E32/E58</f>
        <v>#DIV/0!</v>
      </c>
      <c r="F59" s="201">
        <f t="shared" si="18"/>
        <v>0.68716089244261402</v>
      </c>
      <c r="G59" s="201">
        <f t="shared" si="18"/>
        <v>0.83260776990692553</v>
      </c>
      <c r="H59" s="201">
        <f t="shared" si="18"/>
        <v>0.89500616185411852</v>
      </c>
      <c r="I59" s="201">
        <f t="shared" si="18"/>
        <v>0.92902333184740682</v>
      </c>
      <c r="J59" s="201">
        <f t="shared" si="18"/>
        <v>0.95043492120949902</v>
      </c>
      <c r="K59" s="201">
        <f t="shared" si="18"/>
        <v>0.96515241876003666</v>
      </c>
      <c r="L59" s="201">
        <f t="shared" si="18"/>
        <v>0.97589068729517425</v>
      </c>
      <c r="M59" s="201">
        <f t="shared" si="18"/>
        <v>0.98407136062287937</v>
      </c>
      <c r="N59" s="201">
        <f t="shared" si="18"/>
        <v>0.99051093918962119</v>
      </c>
      <c r="O59" s="201">
        <f t="shared" si="18"/>
        <v>0.99571179903909401</v>
      </c>
      <c r="P59" s="201">
        <f t="shared" si="18"/>
        <v>0.99999999999999978</v>
      </c>
    </row>
    <row r="60" spans="1:16" x14ac:dyDescent="0.25">
      <c r="A60" s="145"/>
      <c r="B60" s="145"/>
      <c r="C60" s="145"/>
      <c r="D60" s="200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</row>
    <row r="61" spans="1:16" x14ac:dyDescent="0.25">
      <c r="A61" s="145"/>
      <c r="B61" s="145"/>
      <c r="C61" s="145"/>
      <c r="D61" s="200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</row>
    <row r="62" spans="1:16" ht="15.75" thickBot="1" x14ac:dyDescent="0.3">
      <c r="A62" s="202" t="s">
        <v>233</v>
      </c>
      <c r="B62" s="202"/>
      <c r="C62" s="202"/>
      <c r="D62" s="203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</row>
    <row r="63" spans="1:16" x14ac:dyDescent="0.25">
      <c r="A63" s="145"/>
      <c r="B63" s="145"/>
      <c r="C63" s="145"/>
      <c r="D63" s="205" t="s">
        <v>186</v>
      </c>
      <c r="E63" s="206" t="s">
        <v>187</v>
      </c>
      <c r="F63" s="206" t="s">
        <v>187</v>
      </c>
      <c r="G63" s="206" t="s">
        <v>187</v>
      </c>
      <c r="H63" s="206" t="s">
        <v>187</v>
      </c>
      <c r="I63" s="206" t="s">
        <v>187</v>
      </c>
      <c r="J63" s="206" t="s">
        <v>187</v>
      </c>
      <c r="K63" s="206" t="s">
        <v>187</v>
      </c>
      <c r="L63" s="206" t="s">
        <v>187</v>
      </c>
      <c r="M63" s="206" t="s">
        <v>187</v>
      </c>
      <c r="N63" s="206" t="s">
        <v>187</v>
      </c>
      <c r="O63" s="206" t="s">
        <v>187</v>
      </c>
      <c r="P63" s="206" t="s">
        <v>187</v>
      </c>
    </row>
    <row r="64" spans="1:16" ht="15.75" thickBot="1" x14ac:dyDescent="0.3">
      <c r="A64" s="145"/>
      <c r="B64" s="145"/>
      <c r="C64" s="145"/>
      <c r="D64" s="146">
        <f>+D59</f>
        <v>0</v>
      </c>
      <c r="E64" s="207" t="s">
        <v>189</v>
      </c>
      <c r="F64" s="207" t="s">
        <v>190</v>
      </c>
      <c r="G64" s="207" t="s">
        <v>191</v>
      </c>
      <c r="H64" s="207" t="s">
        <v>192</v>
      </c>
      <c r="I64" s="207" t="s">
        <v>193</v>
      </c>
      <c r="J64" s="207" t="s">
        <v>194</v>
      </c>
      <c r="K64" s="207" t="s">
        <v>195</v>
      </c>
      <c r="L64" s="207" t="s">
        <v>196</v>
      </c>
      <c r="M64" s="207" t="s">
        <v>197</v>
      </c>
      <c r="N64" s="207" t="s">
        <v>198</v>
      </c>
      <c r="O64" s="207" t="s">
        <v>199</v>
      </c>
      <c r="P64" s="207" t="s">
        <v>200</v>
      </c>
    </row>
    <row r="65" spans="1:16" x14ac:dyDescent="0.25">
      <c r="A65" s="136" t="s">
        <v>234</v>
      </c>
      <c r="B65" s="145"/>
      <c r="C65" s="145"/>
      <c r="D65" s="208">
        <f>SUM(E65:P65)</f>
        <v>0</v>
      </c>
      <c r="E65" s="209">
        <v>0</v>
      </c>
      <c r="F65" s="209">
        <v>0</v>
      </c>
      <c r="G65" s="209">
        <v>0</v>
      </c>
      <c r="H65" s="209">
        <v>0</v>
      </c>
      <c r="I65" s="209">
        <v>0</v>
      </c>
      <c r="J65" s="209">
        <v>0</v>
      </c>
      <c r="K65" s="209">
        <v>0</v>
      </c>
      <c r="L65" s="209">
        <v>0</v>
      </c>
      <c r="M65" s="209">
        <v>0</v>
      </c>
      <c r="N65" s="209">
        <v>0</v>
      </c>
      <c r="O65" s="209">
        <v>0</v>
      </c>
      <c r="P65" s="209">
        <v>0</v>
      </c>
    </row>
    <row r="66" spans="1:16" x14ac:dyDescent="0.25">
      <c r="A66" s="136" t="s">
        <v>235</v>
      </c>
      <c r="B66" s="145"/>
      <c r="C66" s="145"/>
      <c r="D66" s="210">
        <f>SUM(E66:P66)</f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11">
        <v>0</v>
      </c>
      <c r="L66" s="211">
        <v>0</v>
      </c>
      <c r="M66" s="211">
        <v>0</v>
      </c>
      <c r="N66" s="211">
        <v>0</v>
      </c>
      <c r="O66" s="211">
        <v>0</v>
      </c>
      <c r="P66" s="211">
        <v>0</v>
      </c>
    </row>
    <row r="67" spans="1:16" x14ac:dyDescent="0.25">
      <c r="A67" s="136" t="s">
        <v>236</v>
      </c>
      <c r="B67" s="145"/>
      <c r="C67" s="145"/>
      <c r="D67" s="212"/>
      <c r="E67" s="213">
        <f>E65-E66</f>
        <v>0</v>
      </c>
      <c r="F67" s="213">
        <f>E67+F65-F66</f>
        <v>0</v>
      </c>
      <c r="G67" s="213">
        <f t="shared" ref="G67:P67" si="19">F67+G65-G66</f>
        <v>0</v>
      </c>
      <c r="H67" s="213">
        <f t="shared" si="19"/>
        <v>0</v>
      </c>
      <c r="I67" s="213">
        <f t="shared" si="19"/>
        <v>0</v>
      </c>
      <c r="J67" s="213">
        <f t="shared" si="19"/>
        <v>0</v>
      </c>
      <c r="K67" s="213">
        <f t="shared" si="19"/>
        <v>0</v>
      </c>
      <c r="L67" s="213">
        <f t="shared" si="19"/>
        <v>0</v>
      </c>
      <c r="M67" s="213">
        <f t="shared" si="19"/>
        <v>0</v>
      </c>
      <c r="N67" s="213">
        <f t="shared" si="19"/>
        <v>0</v>
      </c>
      <c r="O67" s="213">
        <f t="shared" si="19"/>
        <v>0</v>
      </c>
      <c r="P67" s="213">
        <f t="shared" si="19"/>
        <v>0</v>
      </c>
    </row>
    <row r="68" spans="1:16" ht="15.75" thickBot="1" x14ac:dyDescent="0.3">
      <c r="A68" s="136" t="s">
        <v>237</v>
      </c>
      <c r="B68" s="145"/>
      <c r="C68" s="145"/>
      <c r="D68" s="212">
        <f>SUM(E68:P68)</f>
        <v>0</v>
      </c>
      <c r="E68" s="213">
        <f>E67*0.02</f>
        <v>0</v>
      </c>
      <c r="F68" s="213">
        <f t="shared" ref="F68:P68" si="20">F67*0.02</f>
        <v>0</v>
      </c>
      <c r="G68" s="213">
        <f t="shared" si="20"/>
        <v>0</v>
      </c>
      <c r="H68" s="213">
        <f t="shared" si="20"/>
        <v>0</v>
      </c>
      <c r="I68" s="213">
        <f t="shared" si="20"/>
        <v>0</v>
      </c>
      <c r="J68" s="213">
        <f t="shared" si="20"/>
        <v>0</v>
      </c>
      <c r="K68" s="213">
        <f t="shared" si="20"/>
        <v>0</v>
      </c>
      <c r="L68" s="213">
        <f t="shared" si="20"/>
        <v>0</v>
      </c>
      <c r="M68" s="213">
        <f t="shared" si="20"/>
        <v>0</v>
      </c>
      <c r="N68" s="213">
        <f t="shared" si="20"/>
        <v>0</v>
      </c>
      <c r="O68" s="213">
        <f t="shared" si="20"/>
        <v>0</v>
      </c>
      <c r="P68" s="213">
        <f t="shared" si="20"/>
        <v>0</v>
      </c>
    </row>
    <row r="69" spans="1:16" ht="15.75" thickBot="1" x14ac:dyDescent="0.3">
      <c r="A69" s="145" t="s">
        <v>238</v>
      </c>
      <c r="B69" s="145"/>
      <c r="C69" s="145"/>
      <c r="D69" s="214">
        <f>SUM(E69:P69)</f>
        <v>0</v>
      </c>
      <c r="E69" s="215">
        <f>E65-E66-E68</f>
        <v>0</v>
      </c>
      <c r="F69" s="216">
        <f t="shared" ref="F69:P69" si="21">F65-F66-F68</f>
        <v>0</v>
      </c>
      <c r="G69" s="216">
        <f t="shared" si="21"/>
        <v>0</v>
      </c>
      <c r="H69" s="216">
        <f t="shared" si="21"/>
        <v>0</v>
      </c>
      <c r="I69" s="216">
        <f t="shared" si="21"/>
        <v>0</v>
      </c>
      <c r="J69" s="216">
        <f t="shared" si="21"/>
        <v>0</v>
      </c>
      <c r="K69" s="216">
        <f t="shared" si="21"/>
        <v>0</v>
      </c>
      <c r="L69" s="216">
        <f t="shared" si="21"/>
        <v>0</v>
      </c>
      <c r="M69" s="216">
        <f t="shared" si="21"/>
        <v>0</v>
      </c>
      <c r="N69" s="216">
        <f t="shared" si="21"/>
        <v>0</v>
      </c>
      <c r="O69" s="216">
        <f t="shared" si="21"/>
        <v>0</v>
      </c>
      <c r="P69" s="216">
        <f t="shared" si="21"/>
        <v>0</v>
      </c>
    </row>
    <row r="70" spans="1:16" ht="15.75" thickTop="1" x14ac:dyDescent="0.25">
      <c r="A70" s="145"/>
      <c r="B70" s="145"/>
      <c r="C70" s="145"/>
      <c r="D70" s="200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</row>
    <row r="71" spans="1:16" x14ac:dyDescent="0.25">
      <c r="A71" s="217" t="s">
        <v>239</v>
      </c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</row>
    <row r="72" spans="1:16" x14ac:dyDescent="0.25">
      <c r="A72" s="136"/>
      <c r="B72" s="136"/>
      <c r="C72" s="136"/>
      <c r="D72" s="219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</row>
    <row r="73" spans="1:16" x14ac:dyDescent="0.25">
      <c r="A73" s="136" t="s">
        <v>240</v>
      </c>
      <c r="B73" s="136"/>
      <c r="C73" s="136"/>
      <c r="D73" s="221">
        <f>D30-D55</f>
        <v>-69669.860190971754</v>
      </c>
      <c r="E73" s="222">
        <f t="shared" ref="E73:P73" si="22">E56+E69</f>
        <v>0</v>
      </c>
      <c r="F73" s="222">
        <f t="shared" si="22"/>
        <v>-177272.6854719065</v>
      </c>
      <c r="G73" s="222">
        <f t="shared" si="22"/>
        <v>7715.1145280933706</v>
      </c>
      <c r="H73" s="222">
        <f t="shared" si="22"/>
        <v>11098.634528093389</v>
      </c>
      <c r="I73" s="222">
        <f t="shared" si="22"/>
        <v>11098.634528093389</v>
      </c>
      <c r="J73" s="222">
        <f t="shared" si="22"/>
        <v>11098.634528093389</v>
      </c>
      <c r="K73" s="222">
        <f t="shared" si="22"/>
        <v>11098.634528093389</v>
      </c>
      <c r="L73" s="222">
        <f t="shared" si="22"/>
        <v>11098.634528093389</v>
      </c>
      <c r="M73" s="222">
        <f t="shared" si="22"/>
        <v>11098.634528093389</v>
      </c>
      <c r="N73" s="222">
        <f t="shared" si="22"/>
        <v>11098.634528093389</v>
      </c>
      <c r="O73" s="222">
        <f t="shared" si="22"/>
        <v>11098.634528093389</v>
      </c>
      <c r="P73" s="223">
        <f t="shared" si="22"/>
        <v>11098.634528093389</v>
      </c>
    </row>
    <row r="74" spans="1:16" x14ac:dyDescent="0.25">
      <c r="A74" s="136"/>
      <c r="B74" s="136"/>
      <c r="C74" s="136"/>
      <c r="D74" s="224"/>
      <c r="E74" s="222"/>
      <c r="F74" s="221"/>
      <c r="G74" s="222"/>
      <c r="H74" s="221"/>
      <c r="I74" s="221"/>
      <c r="J74" s="221"/>
      <c r="K74" s="221"/>
      <c r="L74" s="221"/>
      <c r="M74" s="221"/>
      <c r="N74" s="221"/>
      <c r="O74" s="221"/>
      <c r="P74" s="221"/>
    </row>
    <row r="75" spans="1:16" x14ac:dyDescent="0.25">
      <c r="A75" s="136" t="s">
        <v>241</v>
      </c>
      <c r="B75" s="136"/>
      <c r="C75" s="136"/>
      <c r="D75" s="225"/>
      <c r="E75" s="226">
        <v>0</v>
      </c>
      <c r="F75" s="221">
        <f>E77</f>
        <v>0</v>
      </c>
      <c r="G75" s="221">
        <f t="shared" ref="G75:P75" si="23">F77</f>
        <v>-177272.6854719065</v>
      </c>
      <c r="H75" s="221">
        <f t="shared" si="23"/>
        <v>-169557.57094381313</v>
      </c>
      <c r="I75" s="221">
        <f t="shared" si="23"/>
        <v>-158458.93641571974</v>
      </c>
      <c r="J75" s="221">
        <f t="shared" si="23"/>
        <v>-147360.30188762635</v>
      </c>
      <c r="K75" s="221">
        <f t="shared" si="23"/>
        <v>-136261.66735953296</v>
      </c>
      <c r="L75" s="221">
        <f t="shared" si="23"/>
        <v>-125163.03283143957</v>
      </c>
      <c r="M75" s="221">
        <f t="shared" si="23"/>
        <v>-114064.39830334618</v>
      </c>
      <c r="N75" s="221">
        <f t="shared" si="23"/>
        <v>-102965.7637752528</v>
      </c>
      <c r="O75" s="221">
        <f t="shared" si="23"/>
        <v>-91867.129247159406</v>
      </c>
      <c r="P75" s="221">
        <f t="shared" si="23"/>
        <v>-80768.494719066017</v>
      </c>
    </row>
    <row r="76" spans="1:16" x14ac:dyDescent="0.25">
      <c r="A76" s="136"/>
      <c r="B76" s="136"/>
      <c r="C76" s="136"/>
      <c r="D76" s="227"/>
      <c r="E76" s="228"/>
      <c r="F76" s="229"/>
      <c r="G76" s="228"/>
      <c r="H76" s="229"/>
      <c r="I76" s="229"/>
      <c r="J76" s="229"/>
      <c r="K76" s="229"/>
      <c r="L76" s="229"/>
      <c r="M76" s="229"/>
      <c r="N76" s="229"/>
      <c r="O76" s="229"/>
      <c r="P76" s="229"/>
    </row>
    <row r="77" spans="1:16" ht="15.75" thickBot="1" x14ac:dyDescent="0.3">
      <c r="A77" s="145" t="s">
        <v>242</v>
      </c>
      <c r="B77" s="145"/>
      <c r="C77" s="145"/>
      <c r="D77" s="230">
        <f>SUM(D75,D73)</f>
        <v>-69669.860190971754</v>
      </c>
      <c r="E77" s="230">
        <f>SUM(E75,E73)</f>
        <v>0</v>
      </c>
      <c r="F77" s="230">
        <f>SUM(F75,F73)</f>
        <v>-177272.6854719065</v>
      </c>
      <c r="G77" s="230">
        <f t="shared" ref="G77:P77" si="24">SUM(G75,G73)</f>
        <v>-169557.57094381313</v>
      </c>
      <c r="H77" s="230">
        <f t="shared" si="24"/>
        <v>-158458.93641571974</v>
      </c>
      <c r="I77" s="230">
        <f t="shared" si="24"/>
        <v>-147360.30188762635</v>
      </c>
      <c r="J77" s="230">
        <f t="shared" si="24"/>
        <v>-136261.66735953296</v>
      </c>
      <c r="K77" s="230">
        <f t="shared" si="24"/>
        <v>-125163.03283143957</v>
      </c>
      <c r="L77" s="230">
        <f t="shared" si="24"/>
        <v>-114064.39830334618</v>
      </c>
      <c r="M77" s="230">
        <f t="shared" si="24"/>
        <v>-102965.7637752528</v>
      </c>
      <c r="N77" s="230">
        <f t="shared" si="24"/>
        <v>-91867.129247159406</v>
      </c>
      <c r="O77" s="230">
        <f t="shared" si="24"/>
        <v>-80768.494719066017</v>
      </c>
      <c r="P77" s="230">
        <f t="shared" si="24"/>
        <v>-69669.860190972628</v>
      </c>
    </row>
    <row r="78" spans="1:16" ht="15.75" thickTop="1" x14ac:dyDescent="0.25">
      <c r="A78" s="145"/>
      <c r="B78" s="145"/>
      <c r="C78" s="145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</row>
    <row r="79" spans="1:16" x14ac:dyDescent="0.25">
      <c r="A79" s="232" t="s">
        <v>243</v>
      </c>
      <c r="B79" s="232"/>
      <c r="C79" s="232"/>
      <c r="D79" s="232"/>
      <c r="E79" s="233"/>
      <c r="F79" s="234">
        <f t="shared" ref="F79:P79" si="25">+F75/F55</f>
        <v>0</v>
      </c>
      <c r="G79" s="234">
        <f t="shared" si="25"/>
        <v>-0.45205218996873497</v>
      </c>
      <c r="H79" s="234">
        <f t="shared" si="25"/>
        <v>-0.43237835014958859</v>
      </c>
      <c r="I79" s="234">
        <f t="shared" si="25"/>
        <v>-0.40407640374012699</v>
      </c>
      <c r="J79" s="234">
        <f t="shared" si="25"/>
        <v>-0.37577445733066545</v>
      </c>
      <c r="K79" s="234">
        <f t="shared" si="25"/>
        <v>-0.34747251092120385</v>
      </c>
      <c r="L79" s="234">
        <f t="shared" si="25"/>
        <v>-0.31917056451174231</v>
      </c>
      <c r="M79" s="234">
        <f t="shared" si="25"/>
        <v>-0.29086861810228071</v>
      </c>
      <c r="N79" s="234">
        <f t="shared" si="25"/>
        <v>-0.26256667169281916</v>
      </c>
      <c r="O79" s="234">
        <f t="shared" si="25"/>
        <v>-0.23426472528335759</v>
      </c>
      <c r="P79" s="234">
        <f t="shared" si="25"/>
        <v>-0.20596277887389602</v>
      </c>
    </row>
    <row r="80" spans="1:16" x14ac:dyDescent="0.25">
      <c r="A80" s="145"/>
      <c r="B80" s="145"/>
      <c r="C80" s="145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</row>
    <row r="81" spans="1:16" ht="18.75" x14ac:dyDescent="0.3">
      <c r="A81" s="135" t="s">
        <v>244</v>
      </c>
      <c r="B81" s="135"/>
      <c r="C81" s="135"/>
    </row>
    <row r="83" spans="1:16" x14ac:dyDescent="0.25">
      <c r="A83" s="235" t="s">
        <v>201</v>
      </c>
      <c r="B83" s="235"/>
      <c r="C83" s="235"/>
      <c r="D83" s="236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</row>
    <row r="84" spans="1:16" x14ac:dyDescent="0.25">
      <c r="A84" s="155" t="s">
        <v>202</v>
      </c>
      <c r="B84" s="136"/>
      <c r="C84" s="136"/>
      <c r="D84" s="238">
        <f t="shared" ref="D84:P99" si="26">IF(OR(D14=0,D$30=0),0,D14/D$30)</f>
        <v>0.93834730282700973</v>
      </c>
      <c r="E84" s="239">
        <f t="shared" si="26"/>
        <v>0</v>
      </c>
      <c r="F84" s="238">
        <f t="shared" si="26"/>
        <v>1.0126582278481013</v>
      </c>
      <c r="G84" s="238">
        <f t="shared" si="26"/>
        <v>0.9386055798484092</v>
      </c>
      <c r="H84" s="239">
        <f t="shared" si="26"/>
        <v>0.93073008275587343</v>
      </c>
      <c r="I84" s="238">
        <f t="shared" si="26"/>
        <v>0.93073008275587343</v>
      </c>
      <c r="J84" s="238">
        <f t="shared" si="26"/>
        <v>0.93073008275587343</v>
      </c>
      <c r="K84" s="239">
        <f t="shared" si="26"/>
        <v>0.93073008275587343</v>
      </c>
      <c r="L84" s="238">
        <f t="shared" si="26"/>
        <v>0.93073008275587343</v>
      </c>
      <c r="M84" s="238">
        <f t="shared" si="26"/>
        <v>0.93073008275587343</v>
      </c>
      <c r="N84" s="239">
        <f t="shared" si="26"/>
        <v>0.93073008275587343</v>
      </c>
      <c r="O84" s="238">
        <f t="shared" si="26"/>
        <v>0.93073008275587343</v>
      </c>
      <c r="P84" s="238">
        <f t="shared" si="26"/>
        <v>0.93073008275587343</v>
      </c>
    </row>
    <row r="85" spans="1:16" x14ac:dyDescent="0.25">
      <c r="A85" s="155" t="s">
        <v>203</v>
      </c>
      <c r="B85" s="136"/>
      <c r="C85" s="136"/>
      <c r="D85" s="238">
        <f t="shared" si="26"/>
        <v>-1.1729341285337622E-2</v>
      </c>
      <c r="E85" s="239">
        <f t="shared" si="26"/>
        <v>0</v>
      </c>
      <c r="F85" s="238">
        <f t="shared" si="26"/>
        <v>-1.2658227848101266E-2</v>
      </c>
      <c r="G85" s="238">
        <f t="shared" si="26"/>
        <v>-1.1732569748105116E-2</v>
      </c>
      <c r="H85" s="239">
        <f t="shared" si="26"/>
        <v>-1.1634126034448418E-2</v>
      </c>
      <c r="I85" s="238">
        <f t="shared" si="26"/>
        <v>-1.1634126034448418E-2</v>
      </c>
      <c r="J85" s="238">
        <f t="shared" si="26"/>
        <v>-1.1634126034448418E-2</v>
      </c>
      <c r="K85" s="239">
        <f t="shared" si="26"/>
        <v>-1.1634126034448418E-2</v>
      </c>
      <c r="L85" s="238">
        <f t="shared" si="26"/>
        <v>-1.1634126034448418E-2</v>
      </c>
      <c r="M85" s="238">
        <f t="shared" si="26"/>
        <v>-1.1634126034448418E-2</v>
      </c>
      <c r="N85" s="239">
        <f t="shared" si="26"/>
        <v>-1.1634126034448418E-2</v>
      </c>
      <c r="O85" s="238">
        <f t="shared" si="26"/>
        <v>-1.1634126034448418E-2</v>
      </c>
      <c r="P85" s="238">
        <f t="shared" si="26"/>
        <v>-1.1634126034448418E-2</v>
      </c>
    </row>
    <row r="86" spans="1:16" x14ac:dyDescent="0.25">
      <c r="A86" s="155" t="s">
        <v>204</v>
      </c>
      <c r="B86" s="136"/>
      <c r="C86" s="136"/>
      <c r="D86" s="238">
        <f t="shared" si="26"/>
        <v>0</v>
      </c>
      <c r="E86" s="239">
        <f t="shared" si="26"/>
        <v>0</v>
      </c>
      <c r="F86" s="238">
        <f t="shared" si="26"/>
        <v>0</v>
      </c>
      <c r="G86" s="238">
        <f t="shared" si="26"/>
        <v>0</v>
      </c>
      <c r="H86" s="238">
        <f t="shared" si="26"/>
        <v>0</v>
      </c>
      <c r="I86" s="238">
        <f t="shared" si="26"/>
        <v>0</v>
      </c>
      <c r="J86" s="238">
        <f t="shared" si="26"/>
        <v>0</v>
      </c>
      <c r="K86" s="238">
        <f t="shared" si="26"/>
        <v>0</v>
      </c>
      <c r="L86" s="238">
        <f t="shared" si="26"/>
        <v>0</v>
      </c>
      <c r="M86" s="238">
        <f t="shared" si="26"/>
        <v>0</v>
      </c>
      <c r="N86" s="238">
        <f t="shared" si="26"/>
        <v>0</v>
      </c>
      <c r="O86" s="238">
        <f t="shared" si="26"/>
        <v>0</v>
      </c>
      <c r="P86" s="238">
        <f t="shared" si="26"/>
        <v>0</v>
      </c>
    </row>
    <row r="87" spans="1:16" x14ac:dyDescent="0.25">
      <c r="A87" s="155" t="s">
        <v>205</v>
      </c>
      <c r="B87" s="136"/>
      <c r="C87" s="136"/>
      <c r="D87" s="238">
        <f t="shared" si="26"/>
        <v>0</v>
      </c>
      <c r="E87" s="239">
        <f t="shared" si="26"/>
        <v>0</v>
      </c>
      <c r="F87" s="238">
        <f t="shared" si="26"/>
        <v>0</v>
      </c>
      <c r="G87" s="238">
        <f t="shared" si="26"/>
        <v>0</v>
      </c>
      <c r="H87" s="238">
        <f t="shared" si="26"/>
        <v>0</v>
      </c>
      <c r="I87" s="238">
        <f t="shared" si="26"/>
        <v>0</v>
      </c>
      <c r="J87" s="238">
        <f t="shared" si="26"/>
        <v>0</v>
      </c>
      <c r="K87" s="238">
        <f t="shared" si="26"/>
        <v>0</v>
      </c>
      <c r="L87" s="238">
        <f t="shared" si="26"/>
        <v>0</v>
      </c>
      <c r="M87" s="238">
        <f t="shared" si="26"/>
        <v>0</v>
      </c>
      <c r="N87" s="238">
        <f t="shared" si="26"/>
        <v>0</v>
      </c>
      <c r="O87" s="238">
        <f t="shared" si="26"/>
        <v>0</v>
      </c>
      <c r="P87" s="238">
        <f t="shared" si="26"/>
        <v>0</v>
      </c>
    </row>
    <row r="88" spans="1:16" x14ac:dyDescent="0.25">
      <c r="A88" s="155" t="s">
        <v>206</v>
      </c>
      <c r="B88" s="155"/>
      <c r="C88" s="155"/>
      <c r="D88" s="238">
        <f t="shared" si="26"/>
        <v>0</v>
      </c>
      <c r="E88" s="239">
        <f t="shared" si="26"/>
        <v>0</v>
      </c>
      <c r="F88" s="238">
        <f t="shared" si="26"/>
        <v>0</v>
      </c>
      <c r="G88" s="238">
        <f t="shared" si="26"/>
        <v>0</v>
      </c>
      <c r="H88" s="238">
        <f t="shared" si="26"/>
        <v>0</v>
      </c>
      <c r="I88" s="238">
        <f t="shared" si="26"/>
        <v>0</v>
      </c>
      <c r="J88" s="238">
        <f t="shared" si="26"/>
        <v>0</v>
      </c>
      <c r="K88" s="238">
        <f t="shared" si="26"/>
        <v>0</v>
      </c>
      <c r="L88" s="238">
        <f t="shared" si="26"/>
        <v>0</v>
      </c>
      <c r="M88" s="238">
        <f t="shared" si="26"/>
        <v>0</v>
      </c>
      <c r="N88" s="238">
        <f t="shared" si="26"/>
        <v>0</v>
      </c>
      <c r="O88" s="238">
        <f t="shared" si="26"/>
        <v>0</v>
      </c>
      <c r="P88" s="238">
        <f t="shared" si="26"/>
        <v>0</v>
      </c>
    </row>
    <row r="89" spans="1:16" x14ac:dyDescent="0.25">
      <c r="A89" s="164" t="s">
        <v>207</v>
      </c>
      <c r="B89" s="164"/>
      <c r="C89" s="164"/>
      <c r="D89" s="238">
        <f t="shared" si="26"/>
        <v>0</v>
      </c>
      <c r="E89" s="240">
        <f t="shared" si="26"/>
        <v>0</v>
      </c>
      <c r="F89" s="238">
        <f t="shared" si="26"/>
        <v>0</v>
      </c>
      <c r="G89" s="238">
        <f t="shared" si="26"/>
        <v>0</v>
      </c>
      <c r="H89" s="238">
        <f t="shared" si="26"/>
        <v>0</v>
      </c>
      <c r="I89" s="241">
        <f t="shared" si="26"/>
        <v>0</v>
      </c>
      <c r="J89" s="238">
        <f t="shared" si="26"/>
        <v>0</v>
      </c>
      <c r="K89" s="238">
        <f t="shared" si="26"/>
        <v>0</v>
      </c>
      <c r="L89" s="238">
        <f t="shared" si="26"/>
        <v>0</v>
      </c>
      <c r="M89" s="241">
        <f t="shared" si="26"/>
        <v>0</v>
      </c>
      <c r="N89" s="238">
        <f t="shared" si="26"/>
        <v>0</v>
      </c>
      <c r="O89" s="238">
        <f t="shared" si="26"/>
        <v>0</v>
      </c>
      <c r="P89" s="238">
        <f t="shared" si="26"/>
        <v>0</v>
      </c>
    </row>
    <row r="90" spans="1:16" x14ac:dyDescent="0.25">
      <c r="A90" s="242" t="s">
        <v>208</v>
      </c>
      <c r="B90" s="242"/>
      <c r="C90" s="242"/>
      <c r="D90" s="238">
        <f t="shared" si="26"/>
        <v>6.6460788612633395E-2</v>
      </c>
      <c r="E90" s="240">
        <f t="shared" si="26"/>
        <v>0</v>
      </c>
      <c r="F90" s="238">
        <f t="shared" si="26"/>
        <v>0</v>
      </c>
      <c r="G90" s="238">
        <f t="shared" si="26"/>
        <v>7.3126989899695918E-2</v>
      </c>
      <c r="H90" s="238">
        <f t="shared" si="26"/>
        <v>7.251340799830347E-2</v>
      </c>
      <c r="I90" s="241">
        <f t="shared" si="26"/>
        <v>7.251340799830347E-2</v>
      </c>
      <c r="J90" s="238">
        <f t="shared" si="26"/>
        <v>7.251340799830347E-2</v>
      </c>
      <c r="K90" s="238">
        <f t="shared" si="26"/>
        <v>7.251340799830347E-2</v>
      </c>
      <c r="L90" s="238">
        <f t="shared" si="26"/>
        <v>7.251340799830347E-2</v>
      </c>
      <c r="M90" s="238">
        <f t="shared" si="26"/>
        <v>7.251340799830347E-2</v>
      </c>
      <c r="N90" s="238">
        <f t="shared" si="26"/>
        <v>7.251340799830347E-2</v>
      </c>
      <c r="O90" s="238">
        <f t="shared" si="26"/>
        <v>7.251340799830347E-2</v>
      </c>
      <c r="P90" s="238">
        <f t="shared" si="26"/>
        <v>7.251340799830347E-2</v>
      </c>
    </row>
    <row r="91" spans="1:16" x14ac:dyDescent="0.25">
      <c r="A91" s="242" t="s">
        <v>209</v>
      </c>
      <c r="B91" s="242"/>
      <c r="C91" s="242"/>
      <c r="D91" s="238">
        <f t="shared" si="26"/>
        <v>6.9212498456945925E-3</v>
      </c>
      <c r="E91" s="240">
        <f t="shared" si="26"/>
        <v>0</v>
      </c>
      <c r="F91" s="238">
        <f t="shared" si="26"/>
        <v>0</v>
      </c>
      <c r="G91" s="238">
        <f t="shared" si="26"/>
        <v>0</v>
      </c>
      <c r="H91" s="238">
        <f t="shared" si="26"/>
        <v>8.3906352802715252E-3</v>
      </c>
      <c r="I91" s="241">
        <f t="shared" si="26"/>
        <v>8.3906352802715252E-3</v>
      </c>
      <c r="J91" s="238">
        <f t="shared" si="26"/>
        <v>8.3906352802715252E-3</v>
      </c>
      <c r="K91" s="238">
        <f t="shared" si="26"/>
        <v>8.3906352802715252E-3</v>
      </c>
      <c r="L91" s="238">
        <f t="shared" si="26"/>
        <v>8.3906352802715252E-3</v>
      </c>
      <c r="M91" s="241">
        <f t="shared" si="26"/>
        <v>8.3906352802715252E-3</v>
      </c>
      <c r="N91" s="238">
        <f t="shared" si="26"/>
        <v>8.3906352802715252E-3</v>
      </c>
      <c r="O91" s="238">
        <f t="shared" si="26"/>
        <v>8.3906352802715252E-3</v>
      </c>
      <c r="P91" s="238">
        <f t="shared" si="26"/>
        <v>8.3906352802715252E-3</v>
      </c>
    </row>
    <row r="92" spans="1:16" x14ac:dyDescent="0.25">
      <c r="A92" s="242" t="s">
        <v>210</v>
      </c>
      <c r="B92" s="242"/>
      <c r="C92" s="242"/>
      <c r="D92" s="238">
        <f t="shared" si="26"/>
        <v>0</v>
      </c>
      <c r="E92" s="240">
        <f t="shared" si="26"/>
        <v>0</v>
      </c>
      <c r="F92" s="238">
        <f t="shared" si="26"/>
        <v>0</v>
      </c>
      <c r="G92" s="238">
        <f t="shared" si="26"/>
        <v>0</v>
      </c>
      <c r="H92" s="238">
        <f t="shared" si="26"/>
        <v>0</v>
      </c>
      <c r="I92" s="241">
        <f t="shared" si="26"/>
        <v>0</v>
      </c>
      <c r="J92" s="238">
        <f t="shared" si="26"/>
        <v>0</v>
      </c>
      <c r="K92" s="238">
        <f t="shared" si="26"/>
        <v>0</v>
      </c>
      <c r="L92" s="238">
        <f t="shared" si="26"/>
        <v>0</v>
      </c>
      <c r="M92" s="241">
        <f t="shared" si="26"/>
        <v>0</v>
      </c>
      <c r="N92" s="238">
        <f t="shared" si="26"/>
        <v>0</v>
      </c>
      <c r="O92" s="238">
        <f t="shared" si="26"/>
        <v>0</v>
      </c>
      <c r="P92" s="238">
        <f t="shared" si="26"/>
        <v>0</v>
      </c>
    </row>
    <row r="93" spans="1:16" x14ac:dyDescent="0.25">
      <c r="A93" s="242" t="s">
        <v>211</v>
      </c>
      <c r="B93" s="242"/>
      <c r="C93" s="242"/>
      <c r="D93" s="238">
        <f t="shared" si="26"/>
        <v>0</v>
      </c>
      <c r="E93" s="240">
        <f t="shared" si="26"/>
        <v>0</v>
      </c>
      <c r="F93" s="238">
        <f t="shared" si="26"/>
        <v>0</v>
      </c>
      <c r="G93" s="238">
        <f t="shared" si="26"/>
        <v>0</v>
      </c>
      <c r="H93" s="238">
        <f t="shared" si="26"/>
        <v>0</v>
      </c>
      <c r="I93" s="241">
        <f t="shared" si="26"/>
        <v>0</v>
      </c>
      <c r="J93" s="238">
        <f t="shared" si="26"/>
        <v>0</v>
      </c>
      <c r="K93" s="238">
        <f t="shared" si="26"/>
        <v>0</v>
      </c>
      <c r="L93" s="238">
        <f t="shared" si="26"/>
        <v>0</v>
      </c>
      <c r="M93" s="241">
        <f t="shared" si="26"/>
        <v>0</v>
      </c>
      <c r="N93" s="238">
        <f t="shared" si="26"/>
        <v>0</v>
      </c>
      <c r="O93" s="238">
        <f t="shared" si="26"/>
        <v>0</v>
      </c>
      <c r="P93" s="238">
        <f t="shared" si="26"/>
        <v>0</v>
      </c>
    </row>
    <row r="94" spans="1:16" x14ac:dyDescent="0.25">
      <c r="A94" s="242" t="s">
        <v>212</v>
      </c>
      <c r="B94" s="242"/>
      <c r="C94" s="242"/>
      <c r="D94" s="238">
        <f t="shared" si="26"/>
        <v>0</v>
      </c>
      <c r="E94" s="240">
        <f t="shared" si="26"/>
        <v>0</v>
      </c>
      <c r="F94" s="238">
        <f t="shared" si="26"/>
        <v>0</v>
      </c>
      <c r="G94" s="238">
        <f t="shared" si="26"/>
        <v>0</v>
      </c>
      <c r="H94" s="238">
        <f t="shared" si="26"/>
        <v>0</v>
      </c>
      <c r="I94" s="241">
        <f t="shared" si="26"/>
        <v>0</v>
      </c>
      <c r="J94" s="238">
        <f t="shared" si="26"/>
        <v>0</v>
      </c>
      <c r="K94" s="238">
        <f t="shared" si="26"/>
        <v>0</v>
      </c>
      <c r="L94" s="238">
        <f t="shared" si="26"/>
        <v>0</v>
      </c>
      <c r="M94" s="241">
        <f t="shared" si="26"/>
        <v>0</v>
      </c>
      <c r="N94" s="238">
        <f t="shared" si="26"/>
        <v>0</v>
      </c>
      <c r="O94" s="238">
        <f t="shared" si="26"/>
        <v>0</v>
      </c>
      <c r="P94" s="238">
        <f t="shared" si="26"/>
        <v>0</v>
      </c>
    </row>
    <row r="95" spans="1:16" x14ac:dyDescent="0.25">
      <c r="A95" s="242" t="s">
        <v>213</v>
      </c>
      <c r="B95" s="242"/>
      <c r="C95" s="242"/>
      <c r="D95" s="238">
        <f t="shared" si="26"/>
        <v>0</v>
      </c>
      <c r="E95" s="240">
        <f t="shared" si="26"/>
        <v>0</v>
      </c>
      <c r="F95" s="238">
        <f t="shared" si="26"/>
        <v>0</v>
      </c>
      <c r="G95" s="238">
        <f t="shared" si="26"/>
        <v>0</v>
      </c>
      <c r="H95" s="238">
        <f t="shared" si="26"/>
        <v>0</v>
      </c>
      <c r="I95" s="241">
        <f t="shared" si="26"/>
        <v>0</v>
      </c>
      <c r="J95" s="238">
        <f t="shared" si="26"/>
        <v>0</v>
      </c>
      <c r="K95" s="238">
        <f t="shared" si="26"/>
        <v>0</v>
      </c>
      <c r="L95" s="238">
        <f t="shared" si="26"/>
        <v>0</v>
      </c>
      <c r="M95" s="241">
        <f t="shared" si="26"/>
        <v>0</v>
      </c>
      <c r="N95" s="238">
        <f t="shared" si="26"/>
        <v>0</v>
      </c>
      <c r="O95" s="238">
        <f t="shared" si="26"/>
        <v>0</v>
      </c>
      <c r="P95" s="238">
        <f t="shared" si="26"/>
        <v>0</v>
      </c>
    </row>
    <row r="96" spans="1:16" x14ac:dyDescent="0.25">
      <c r="A96" s="242" t="s">
        <v>214</v>
      </c>
      <c r="B96" s="242"/>
      <c r="C96" s="242"/>
      <c r="D96" s="238">
        <f t="shared" si="26"/>
        <v>0</v>
      </c>
      <c r="E96" s="240">
        <f t="shared" si="26"/>
        <v>0</v>
      </c>
      <c r="F96" s="238">
        <f t="shared" si="26"/>
        <v>0</v>
      </c>
      <c r="G96" s="238">
        <f t="shared" si="26"/>
        <v>0</v>
      </c>
      <c r="H96" s="238">
        <f t="shared" si="26"/>
        <v>0</v>
      </c>
      <c r="I96" s="241">
        <f t="shared" si="26"/>
        <v>0</v>
      </c>
      <c r="J96" s="238">
        <f t="shared" si="26"/>
        <v>0</v>
      </c>
      <c r="K96" s="238">
        <f t="shared" si="26"/>
        <v>0</v>
      </c>
      <c r="L96" s="238">
        <f t="shared" si="26"/>
        <v>0</v>
      </c>
      <c r="M96" s="241">
        <f t="shared" si="26"/>
        <v>0</v>
      </c>
      <c r="N96" s="238">
        <f t="shared" si="26"/>
        <v>0</v>
      </c>
      <c r="O96" s="238">
        <f t="shared" si="26"/>
        <v>0</v>
      </c>
      <c r="P96" s="238">
        <f t="shared" si="26"/>
        <v>0</v>
      </c>
    </row>
    <row r="97" spans="1:16" x14ac:dyDescent="0.25">
      <c r="A97" s="242" t="s">
        <v>215</v>
      </c>
      <c r="B97" s="242"/>
      <c r="C97" s="242"/>
      <c r="D97" s="238">
        <f t="shared" si="26"/>
        <v>0</v>
      </c>
      <c r="E97" s="240">
        <f t="shared" si="26"/>
        <v>0</v>
      </c>
      <c r="F97" s="238">
        <f t="shared" si="26"/>
        <v>0</v>
      </c>
      <c r="G97" s="238">
        <f t="shared" si="26"/>
        <v>0</v>
      </c>
      <c r="H97" s="238">
        <f t="shared" si="26"/>
        <v>0</v>
      </c>
      <c r="I97" s="241">
        <f t="shared" si="26"/>
        <v>0</v>
      </c>
      <c r="J97" s="238">
        <f t="shared" si="26"/>
        <v>0</v>
      </c>
      <c r="K97" s="238">
        <f t="shared" si="26"/>
        <v>0</v>
      </c>
      <c r="L97" s="238">
        <f t="shared" si="26"/>
        <v>0</v>
      </c>
      <c r="M97" s="241">
        <f t="shared" si="26"/>
        <v>0</v>
      </c>
      <c r="N97" s="238">
        <f t="shared" si="26"/>
        <v>0</v>
      </c>
      <c r="O97" s="238">
        <f t="shared" si="26"/>
        <v>0</v>
      </c>
      <c r="P97" s="238">
        <f t="shared" si="26"/>
        <v>0</v>
      </c>
    </row>
    <row r="98" spans="1:16" x14ac:dyDescent="0.25">
      <c r="A98" s="242" t="s">
        <v>245</v>
      </c>
      <c r="B98" s="242"/>
      <c r="C98" s="242"/>
      <c r="D98" s="238">
        <f t="shared" si="26"/>
        <v>0</v>
      </c>
      <c r="E98" s="240">
        <f t="shared" si="26"/>
        <v>0</v>
      </c>
      <c r="F98" s="238">
        <f t="shared" si="26"/>
        <v>0</v>
      </c>
      <c r="G98" s="238">
        <f t="shared" si="26"/>
        <v>0</v>
      </c>
      <c r="H98" s="238">
        <f t="shared" si="26"/>
        <v>0</v>
      </c>
      <c r="I98" s="241">
        <f t="shared" si="26"/>
        <v>0</v>
      </c>
      <c r="J98" s="238">
        <f t="shared" si="26"/>
        <v>0</v>
      </c>
      <c r="K98" s="238">
        <f t="shared" si="26"/>
        <v>0</v>
      </c>
      <c r="L98" s="238">
        <f t="shared" si="26"/>
        <v>0</v>
      </c>
      <c r="M98" s="241">
        <f t="shared" si="26"/>
        <v>0</v>
      </c>
      <c r="N98" s="238">
        <f t="shared" si="26"/>
        <v>0</v>
      </c>
      <c r="O98" s="238">
        <f t="shared" si="26"/>
        <v>0</v>
      </c>
      <c r="P98" s="238">
        <f t="shared" si="26"/>
        <v>0</v>
      </c>
    </row>
    <row r="99" spans="1:16" x14ac:dyDescent="0.25">
      <c r="A99" s="242" t="s">
        <v>246</v>
      </c>
      <c r="B99" s="243"/>
      <c r="C99" s="243"/>
      <c r="D99" s="238">
        <f t="shared" si="26"/>
        <v>0</v>
      </c>
      <c r="E99" s="240">
        <f t="shared" si="26"/>
        <v>0</v>
      </c>
      <c r="F99" s="238">
        <f t="shared" si="26"/>
        <v>0</v>
      </c>
      <c r="G99" s="238">
        <f t="shared" si="26"/>
        <v>0</v>
      </c>
      <c r="H99" s="238">
        <f t="shared" si="26"/>
        <v>0</v>
      </c>
      <c r="I99" s="241">
        <f t="shared" si="26"/>
        <v>0</v>
      </c>
      <c r="J99" s="238">
        <f t="shared" si="26"/>
        <v>0</v>
      </c>
      <c r="K99" s="238">
        <f t="shared" si="26"/>
        <v>0</v>
      </c>
      <c r="L99" s="238">
        <f t="shared" si="26"/>
        <v>0</v>
      </c>
      <c r="M99" s="241">
        <f t="shared" si="26"/>
        <v>0</v>
      </c>
      <c r="N99" s="238">
        <f t="shared" si="26"/>
        <v>0</v>
      </c>
      <c r="O99" s="238">
        <f t="shared" si="26"/>
        <v>0</v>
      </c>
      <c r="P99" s="238">
        <f t="shared" si="26"/>
        <v>0</v>
      </c>
    </row>
    <row r="100" spans="1:16" ht="15.75" thickBot="1" x14ac:dyDescent="0.3">
      <c r="A100" s="242" t="s">
        <v>247</v>
      </c>
      <c r="B100" s="243"/>
      <c r="C100" s="243"/>
      <c r="D100" s="244">
        <f>SUM(D84:D99)</f>
        <v>1</v>
      </c>
      <c r="E100" s="244">
        <f t="shared" ref="E100:P100" si="27">SUM(E84:E99)</f>
        <v>0</v>
      </c>
      <c r="F100" s="244">
        <f t="shared" si="27"/>
        <v>1</v>
      </c>
      <c r="G100" s="244">
        <f t="shared" si="27"/>
        <v>1</v>
      </c>
      <c r="H100" s="244">
        <f t="shared" si="27"/>
        <v>0.99999999999999989</v>
      </c>
      <c r="I100" s="244">
        <f t="shared" si="27"/>
        <v>0.99999999999999989</v>
      </c>
      <c r="J100" s="244">
        <f t="shared" si="27"/>
        <v>0.99999999999999989</v>
      </c>
      <c r="K100" s="244">
        <f t="shared" si="27"/>
        <v>0.99999999999999989</v>
      </c>
      <c r="L100" s="244">
        <f t="shared" si="27"/>
        <v>0.99999999999999989</v>
      </c>
      <c r="M100" s="244">
        <f t="shared" si="27"/>
        <v>0.99999999999999989</v>
      </c>
      <c r="N100" s="244">
        <f t="shared" si="27"/>
        <v>0.99999999999999989</v>
      </c>
      <c r="O100" s="244">
        <f t="shared" si="27"/>
        <v>0.99999999999999989</v>
      </c>
      <c r="P100" s="244">
        <f t="shared" si="27"/>
        <v>0.99999999999999989</v>
      </c>
    </row>
    <row r="101" spans="1:16" ht="15.75" thickTop="1" x14ac:dyDescent="0.25">
      <c r="A101" s="243" t="s">
        <v>219</v>
      </c>
      <c r="B101" s="243"/>
      <c r="C101" s="243"/>
      <c r="D101" s="245"/>
      <c r="E101" s="246">
        <f t="shared" ref="E101:P101" si="28">E31/$D$30</f>
        <v>0</v>
      </c>
      <c r="F101" s="246">
        <f t="shared" si="28"/>
        <v>8.4237996503788368E-2</v>
      </c>
      <c r="G101" s="246">
        <f t="shared" si="28"/>
        <v>0.17512207186884007</v>
      </c>
      <c r="H101" s="246">
        <f t="shared" si="28"/>
        <v>0.26677517499452452</v>
      </c>
      <c r="I101" s="246">
        <f t="shared" si="28"/>
        <v>0.35842827812020894</v>
      </c>
      <c r="J101" s="246">
        <f t="shared" si="28"/>
        <v>0.45008138124589342</v>
      </c>
      <c r="K101" s="246">
        <f t="shared" si="28"/>
        <v>0.54173448437157778</v>
      </c>
      <c r="L101" s="246">
        <f t="shared" si="28"/>
        <v>0.63338758749726232</v>
      </c>
      <c r="M101" s="246">
        <f t="shared" si="28"/>
        <v>0.72504069062294674</v>
      </c>
      <c r="N101" s="246">
        <f t="shared" si="28"/>
        <v>0.81669379374863116</v>
      </c>
      <c r="O101" s="246">
        <f t="shared" si="28"/>
        <v>0.90834689687431569</v>
      </c>
      <c r="P101" s="246">
        <f t="shared" si="28"/>
        <v>1</v>
      </c>
    </row>
    <row r="102" spans="1:16" x14ac:dyDescent="0.25">
      <c r="A102" s="243"/>
      <c r="B102" s="243"/>
      <c r="C102" s="243"/>
      <c r="D102" s="247"/>
      <c r="E102" s="248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</row>
    <row r="103" spans="1:16" ht="18.75" x14ac:dyDescent="0.3">
      <c r="A103" s="250" t="s">
        <v>248</v>
      </c>
      <c r="B103" s="243"/>
      <c r="C103" s="243"/>
      <c r="D103" s="247"/>
      <c r="E103" s="248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</row>
    <row r="104" spans="1:16" x14ac:dyDescent="0.25">
      <c r="A104" s="155"/>
      <c r="B104" s="155"/>
      <c r="C104" s="155"/>
      <c r="D104" s="251"/>
      <c r="E104" s="252"/>
      <c r="F104" s="251"/>
      <c r="G104" s="251"/>
      <c r="H104" s="251"/>
      <c r="I104" s="253"/>
      <c r="J104" s="251"/>
      <c r="K104" s="251"/>
      <c r="L104" s="251"/>
      <c r="M104" s="253"/>
      <c r="N104" s="251"/>
      <c r="O104" s="251"/>
      <c r="P104" s="251"/>
    </row>
    <row r="105" spans="1:16" x14ac:dyDescent="0.25">
      <c r="A105" s="151" t="s">
        <v>249</v>
      </c>
      <c r="B105" s="151"/>
      <c r="C105" s="151"/>
      <c r="D105" s="254"/>
      <c r="E105" s="255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</row>
    <row r="106" spans="1:16" x14ac:dyDescent="0.25">
      <c r="A106" s="136" t="s">
        <v>164</v>
      </c>
      <c r="B106" s="155"/>
      <c r="C106" s="155"/>
      <c r="D106" s="239">
        <f t="shared" ref="D106:P121" si="29">D35/D$55</f>
        <v>0.34581768901332999</v>
      </c>
      <c r="E106" s="239" t="e">
        <f t="shared" si="29"/>
        <v>#DIV/0!</v>
      </c>
      <c r="F106" s="239">
        <f t="shared" si="29"/>
        <v>0.25645131183241737</v>
      </c>
      <c r="G106" s="239">
        <f t="shared" si="29"/>
        <v>0.3583036049061073</v>
      </c>
      <c r="H106" s="239">
        <f t="shared" si="29"/>
        <v>0.3583036049061073</v>
      </c>
      <c r="I106" s="239">
        <f t="shared" si="29"/>
        <v>0.3583036049061073</v>
      </c>
      <c r="J106" s="239">
        <f t="shared" si="29"/>
        <v>0.3583036049061073</v>
      </c>
      <c r="K106" s="239">
        <f t="shared" si="29"/>
        <v>0.3583036049061073</v>
      </c>
      <c r="L106" s="239">
        <f t="shared" si="29"/>
        <v>0.3583036049061073</v>
      </c>
      <c r="M106" s="239">
        <f t="shared" si="29"/>
        <v>0.3583036049061073</v>
      </c>
      <c r="N106" s="239">
        <f t="shared" si="29"/>
        <v>0.3583036049061073</v>
      </c>
      <c r="O106" s="239">
        <f t="shared" si="29"/>
        <v>0.3583036049061073</v>
      </c>
      <c r="P106" s="239">
        <f t="shared" si="29"/>
        <v>0.3583036049061073</v>
      </c>
    </row>
    <row r="107" spans="1:16" x14ac:dyDescent="0.25">
      <c r="A107" s="155" t="s">
        <v>152</v>
      </c>
      <c r="B107" s="155"/>
      <c r="C107" s="155"/>
      <c r="D107" s="239">
        <f t="shared" si="29"/>
        <v>0.16131983504746825</v>
      </c>
      <c r="E107" s="239" t="e">
        <f t="shared" si="29"/>
        <v>#DIV/0!</v>
      </c>
      <c r="F107" s="239">
        <f t="shared" si="29"/>
        <v>0.11963148397801515</v>
      </c>
      <c r="G107" s="239">
        <f t="shared" si="29"/>
        <v>0.16714436616959302</v>
      </c>
      <c r="H107" s="239">
        <f t="shared" si="29"/>
        <v>0.16714436616959302</v>
      </c>
      <c r="I107" s="239">
        <f t="shared" si="29"/>
        <v>0.16714436616959302</v>
      </c>
      <c r="J107" s="239">
        <f t="shared" si="29"/>
        <v>0.16714436616959302</v>
      </c>
      <c r="K107" s="239">
        <f t="shared" si="29"/>
        <v>0.16714436616959302</v>
      </c>
      <c r="L107" s="239">
        <f t="shared" si="29"/>
        <v>0.16714436616959302</v>
      </c>
      <c r="M107" s="239">
        <f t="shared" si="29"/>
        <v>0.16714436616959302</v>
      </c>
      <c r="N107" s="239">
        <f t="shared" si="29"/>
        <v>0.16714436616959302</v>
      </c>
      <c r="O107" s="239">
        <f t="shared" si="29"/>
        <v>0.16714436616959302</v>
      </c>
      <c r="P107" s="239">
        <f t="shared" si="29"/>
        <v>0.16714436616959302</v>
      </c>
    </row>
    <row r="108" spans="1:16" x14ac:dyDescent="0.25">
      <c r="A108" s="155" t="s">
        <v>222</v>
      </c>
      <c r="B108" s="155"/>
      <c r="C108" s="155"/>
      <c r="D108" s="239">
        <f t="shared" si="29"/>
        <v>0</v>
      </c>
      <c r="E108" s="239" t="e">
        <f t="shared" si="29"/>
        <v>#DIV/0!</v>
      </c>
      <c r="F108" s="239">
        <f t="shared" si="29"/>
        <v>0</v>
      </c>
      <c r="G108" s="239">
        <f t="shared" si="29"/>
        <v>0</v>
      </c>
      <c r="H108" s="239">
        <f t="shared" si="29"/>
        <v>0</v>
      </c>
      <c r="I108" s="239">
        <f t="shared" si="29"/>
        <v>0</v>
      </c>
      <c r="J108" s="239">
        <f t="shared" si="29"/>
        <v>0</v>
      </c>
      <c r="K108" s="239">
        <f t="shared" si="29"/>
        <v>0</v>
      </c>
      <c r="L108" s="239">
        <f t="shared" si="29"/>
        <v>0</v>
      </c>
      <c r="M108" s="239">
        <f t="shared" si="29"/>
        <v>0</v>
      </c>
      <c r="N108" s="239">
        <f t="shared" si="29"/>
        <v>0</v>
      </c>
      <c r="O108" s="239">
        <f t="shared" si="29"/>
        <v>0</v>
      </c>
      <c r="P108" s="239">
        <f t="shared" si="29"/>
        <v>0</v>
      </c>
    </row>
    <row r="109" spans="1:16" x14ac:dyDescent="0.25">
      <c r="A109" s="155" t="s">
        <v>223</v>
      </c>
      <c r="B109" s="155"/>
      <c r="C109" s="155"/>
      <c r="D109" s="239">
        <f t="shared" si="29"/>
        <v>0</v>
      </c>
      <c r="E109" s="239" t="e">
        <f t="shared" si="29"/>
        <v>#DIV/0!</v>
      </c>
      <c r="F109" s="239">
        <f t="shared" si="29"/>
        <v>0</v>
      </c>
      <c r="G109" s="239">
        <f t="shared" si="29"/>
        <v>0</v>
      </c>
      <c r="H109" s="239">
        <f t="shared" si="29"/>
        <v>0</v>
      </c>
      <c r="I109" s="239">
        <f t="shared" si="29"/>
        <v>0</v>
      </c>
      <c r="J109" s="239">
        <f t="shared" si="29"/>
        <v>0</v>
      </c>
      <c r="K109" s="239">
        <f t="shared" si="29"/>
        <v>0</v>
      </c>
      <c r="L109" s="239">
        <f t="shared" si="29"/>
        <v>0</v>
      </c>
      <c r="M109" s="239">
        <f t="shared" si="29"/>
        <v>0</v>
      </c>
      <c r="N109" s="239">
        <f t="shared" si="29"/>
        <v>0</v>
      </c>
      <c r="O109" s="239">
        <f t="shared" si="29"/>
        <v>0</v>
      </c>
      <c r="P109" s="239">
        <f t="shared" si="29"/>
        <v>0</v>
      </c>
    </row>
    <row r="110" spans="1:16" x14ac:dyDescent="0.25">
      <c r="A110" s="155" t="s">
        <v>107</v>
      </c>
      <c r="B110" s="155"/>
      <c r="C110" s="155"/>
      <c r="D110" s="239">
        <f t="shared" si="29"/>
        <v>1.9331423609440814E-3</v>
      </c>
      <c r="E110" s="239" t="e">
        <f t="shared" si="29"/>
        <v>#DIV/0!</v>
      </c>
      <c r="F110" s="239">
        <f t="shared" si="29"/>
        <v>1.4335787617961219E-3</v>
      </c>
      <c r="G110" s="239">
        <f t="shared" si="29"/>
        <v>2.0029394063074322E-3</v>
      </c>
      <c r="H110" s="239">
        <f t="shared" si="29"/>
        <v>2.0029394063074322E-3</v>
      </c>
      <c r="I110" s="239">
        <f t="shared" si="29"/>
        <v>2.0029394063074322E-3</v>
      </c>
      <c r="J110" s="239">
        <f t="shared" si="29"/>
        <v>2.0029394063074322E-3</v>
      </c>
      <c r="K110" s="239">
        <f t="shared" si="29"/>
        <v>2.0029394063074322E-3</v>
      </c>
      <c r="L110" s="239">
        <f t="shared" si="29"/>
        <v>2.0029394063074322E-3</v>
      </c>
      <c r="M110" s="239">
        <f t="shared" si="29"/>
        <v>2.0029394063074322E-3</v>
      </c>
      <c r="N110" s="239">
        <f t="shared" si="29"/>
        <v>2.0029394063074322E-3</v>
      </c>
      <c r="O110" s="239">
        <f t="shared" si="29"/>
        <v>2.0029394063074322E-3</v>
      </c>
      <c r="P110" s="239">
        <f t="shared" si="29"/>
        <v>2.0029394063074322E-3</v>
      </c>
    </row>
    <row r="111" spans="1:16" x14ac:dyDescent="0.25">
      <c r="A111" s="155" t="s">
        <v>165</v>
      </c>
      <c r="B111" s="155"/>
      <c r="C111" s="155"/>
      <c r="D111" s="239">
        <f t="shared" si="29"/>
        <v>8.6372084708329355E-2</v>
      </c>
      <c r="E111" s="239" t="e">
        <f t="shared" si="29"/>
        <v>#DIV/0!</v>
      </c>
      <c r="F111" s="239">
        <f t="shared" si="29"/>
        <v>0.36503162916104953</v>
      </c>
      <c r="G111" s="239">
        <f t="shared" si="29"/>
        <v>4.7438878008981791E-2</v>
      </c>
      <c r="H111" s="239">
        <f t="shared" si="29"/>
        <v>4.7438878008981791E-2</v>
      </c>
      <c r="I111" s="239">
        <f t="shared" si="29"/>
        <v>4.7438878008981791E-2</v>
      </c>
      <c r="J111" s="239">
        <f t="shared" si="29"/>
        <v>4.7438878008981791E-2</v>
      </c>
      <c r="K111" s="239">
        <f t="shared" si="29"/>
        <v>4.7438878008981791E-2</v>
      </c>
      <c r="L111" s="239">
        <f t="shared" si="29"/>
        <v>4.7438878008981791E-2</v>
      </c>
      <c r="M111" s="239">
        <f t="shared" si="29"/>
        <v>4.7438878008981791E-2</v>
      </c>
      <c r="N111" s="239">
        <f t="shared" si="29"/>
        <v>4.7438878008981791E-2</v>
      </c>
      <c r="O111" s="239">
        <f t="shared" si="29"/>
        <v>4.7438878008981791E-2</v>
      </c>
      <c r="P111" s="239">
        <f t="shared" si="29"/>
        <v>4.7438878008981791E-2</v>
      </c>
    </row>
    <row r="112" spans="1:16" x14ac:dyDescent="0.25">
      <c r="A112" s="155" t="s">
        <v>166</v>
      </c>
      <c r="B112" s="155"/>
      <c r="C112" s="155"/>
      <c r="D112" s="239">
        <f t="shared" si="29"/>
        <v>6.5780538671013869E-2</v>
      </c>
      <c r="E112" s="239" t="e">
        <f t="shared" si="29"/>
        <v>#DIV/0!</v>
      </c>
      <c r="F112" s="239">
        <f t="shared" si="29"/>
        <v>4.878149953334026E-2</v>
      </c>
      <c r="G112" s="239">
        <f t="shared" si="29"/>
        <v>6.8155577020183461E-2</v>
      </c>
      <c r="H112" s="239">
        <f t="shared" si="29"/>
        <v>6.8155577020183461E-2</v>
      </c>
      <c r="I112" s="239">
        <f t="shared" si="29"/>
        <v>6.8155577020183461E-2</v>
      </c>
      <c r="J112" s="239">
        <f t="shared" si="29"/>
        <v>6.8155577020183461E-2</v>
      </c>
      <c r="K112" s="239">
        <f t="shared" si="29"/>
        <v>6.8155577020183461E-2</v>
      </c>
      <c r="L112" s="239">
        <f t="shared" si="29"/>
        <v>6.8155577020183461E-2</v>
      </c>
      <c r="M112" s="239">
        <f t="shared" si="29"/>
        <v>6.8155577020183461E-2</v>
      </c>
      <c r="N112" s="239">
        <f t="shared" si="29"/>
        <v>6.8155577020183461E-2</v>
      </c>
      <c r="O112" s="239">
        <f t="shared" si="29"/>
        <v>6.8155577020183461E-2</v>
      </c>
      <c r="P112" s="239">
        <f t="shared" si="29"/>
        <v>6.8155577020183461E-2</v>
      </c>
    </row>
    <row r="113" spans="1:16" x14ac:dyDescent="0.25">
      <c r="A113" s="155" t="s">
        <v>250</v>
      </c>
      <c r="B113" s="155"/>
      <c r="C113" s="155"/>
      <c r="D113" s="239">
        <f t="shared" si="29"/>
        <v>5.7390163840527399E-2</v>
      </c>
      <c r="E113" s="239" t="e">
        <f t="shared" si="29"/>
        <v>#DIV/0!</v>
      </c>
      <c r="F113" s="239">
        <f t="shared" si="29"/>
        <v>0</v>
      </c>
      <c r="G113" s="239">
        <f t="shared" si="29"/>
        <v>6.5408489987227078E-2</v>
      </c>
      <c r="H113" s="239">
        <f t="shared" si="29"/>
        <v>6.5408489987227078E-2</v>
      </c>
      <c r="I113" s="239">
        <f t="shared" si="29"/>
        <v>6.5408489987227078E-2</v>
      </c>
      <c r="J113" s="239">
        <f t="shared" si="29"/>
        <v>6.5408489987227078E-2</v>
      </c>
      <c r="K113" s="239">
        <f t="shared" si="29"/>
        <v>6.5408489987227078E-2</v>
      </c>
      <c r="L113" s="239">
        <f t="shared" si="29"/>
        <v>6.5408489987227078E-2</v>
      </c>
      <c r="M113" s="239">
        <f t="shared" si="29"/>
        <v>6.5408489987227078E-2</v>
      </c>
      <c r="N113" s="239">
        <f t="shared" si="29"/>
        <v>6.5408489987227078E-2</v>
      </c>
      <c r="O113" s="239">
        <f t="shared" si="29"/>
        <v>6.5408489987227078E-2</v>
      </c>
      <c r="P113" s="239">
        <f t="shared" si="29"/>
        <v>6.5408489987227078E-2</v>
      </c>
    </row>
    <row r="114" spans="1:16" x14ac:dyDescent="0.25">
      <c r="A114" s="155" t="s">
        <v>224</v>
      </c>
      <c r="B114" s="155"/>
      <c r="C114" s="155"/>
      <c r="D114" s="239">
        <f t="shared" si="29"/>
        <v>0</v>
      </c>
      <c r="E114" s="239" t="e">
        <f t="shared" si="29"/>
        <v>#DIV/0!</v>
      </c>
      <c r="F114" s="239">
        <f t="shared" si="29"/>
        <v>0</v>
      </c>
      <c r="G114" s="239">
        <f t="shared" si="29"/>
        <v>0</v>
      </c>
      <c r="H114" s="239">
        <f t="shared" si="29"/>
        <v>0</v>
      </c>
      <c r="I114" s="239">
        <f t="shared" si="29"/>
        <v>0</v>
      </c>
      <c r="J114" s="239">
        <f t="shared" si="29"/>
        <v>0</v>
      </c>
      <c r="K114" s="239">
        <f t="shared" si="29"/>
        <v>0</v>
      </c>
      <c r="L114" s="239">
        <f t="shared" si="29"/>
        <v>0</v>
      </c>
      <c r="M114" s="239">
        <f t="shared" si="29"/>
        <v>0</v>
      </c>
      <c r="N114" s="239">
        <f t="shared" si="29"/>
        <v>0</v>
      </c>
      <c r="O114" s="239">
        <f t="shared" si="29"/>
        <v>0</v>
      </c>
      <c r="P114" s="239">
        <f t="shared" si="29"/>
        <v>0</v>
      </c>
    </row>
    <row r="115" spans="1:16" x14ac:dyDescent="0.25">
      <c r="A115" s="188" t="s">
        <v>101</v>
      </c>
      <c r="B115" s="155"/>
      <c r="C115" s="155"/>
      <c r="D115" s="239">
        <f t="shared" si="29"/>
        <v>0</v>
      </c>
      <c r="E115" s="239" t="e">
        <f t="shared" si="29"/>
        <v>#DIV/0!</v>
      </c>
      <c r="F115" s="239">
        <f t="shared" si="29"/>
        <v>0</v>
      </c>
      <c r="G115" s="239">
        <f t="shared" si="29"/>
        <v>0</v>
      </c>
      <c r="H115" s="239">
        <f t="shared" si="29"/>
        <v>0</v>
      </c>
      <c r="I115" s="239">
        <f t="shared" si="29"/>
        <v>0</v>
      </c>
      <c r="J115" s="239">
        <f t="shared" si="29"/>
        <v>0</v>
      </c>
      <c r="K115" s="239">
        <f t="shared" si="29"/>
        <v>0</v>
      </c>
      <c r="L115" s="239">
        <f t="shared" si="29"/>
        <v>0</v>
      </c>
      <c r="M115" s="239">
        <f t="shared" si="29"/>
        <v>0</v>
      </c>
      <c r="N115" s="239">
        <f t="shared" si="29"/>
        <v>0</v>
      </c>
      <c r="O115" s="239">
        <f t="shared" si="29"/>
        <v>0</v>
      </c>
      <c r="P115" s="239">
        <f t="shared" si="29"/>
        <v>0</v>
      </c>
    </row>
    <row r="116" spans="1:16" x14ac:dyDescent="0.25">
      <c r="A116" s="189" t="s">
        <v>225</v>
      </c>
      <c r="B116" s="155"/>
      <c r="C116" s="155"/>
      <c r="D116" s="239">
        <f t="shared" si="29"/>
        <v>0</v>
      </c>
      <c r="E116" s="239" t="e">
        <f t="shared" si="29"/>
        <v>#DIV/0!</v>
      </c>
      <c r="F116" s="239">
        <f t="shared" si="29"/>
        <v>0</v>
      </c>
      <c r="G116" s="239">
        <f t="shared" si="29"/>
        <v>0</v>
      </c>
      <c r="H116" s="239">
        <f t="shared" si="29"/>
        <v>0</v>
      </c>
      <c r="I116" s="239">
        <f t="shared" si="29"/>
        <v>0</v>
      </c>
      <c r="J116" s="239">
        <f t="shared" si="29"/>
        <v>0</v>
      </c>
      <c r="K116" s="239">
        <f t="shared" si="29"/>
        <v>0</v>
      </c>
      <c r="L116" s="239">
        <f t="shared" si="29"/>
        <v>0</v>
      </c>
      <c r="M116" s="239">
        <f t="shared" si="29"/>
        <v>0</v>
      </c>
      <c r="N116" s="239">
        <f t="shared" si="29"/>
        <v>0</v>
      </c>
      <c r="O116" s="239">
        <f t="shared" si="29"/>
        <v>0</v>
      </c>
      <c r="P116" s="239">
        <f t="shared" si="29"/>
        <v>0</v>
      </c>
    </row>
    <row r="117" spans="1:16" x14ac:dyDescent="0.25">
      <c r="A117" s="155" t="s">
        <v>168</v>
      </c>
      <c r="B117" s="155"/>
      <c r="C117" s="155"/>
      <c r="D117" s="239">
        <f t="shared" si="29"/>
        <v>0.18351226460244052</v>
      </c>
      <c r="E117" s="239" t="e">
        <f t="shared" si="29"/>
        <v>#DIV/0!</v>
      </c>
      <c r="F117" s="239">
        <f t="shared" si="29"/>
        <v>0.13608893497874108</v>
      </c>
      <c r="G117" s="239">
        <f t="shared" si="29"/>
        <v>0.19013806418966422</v>
      </c>
      <c r="H117" s="239">
        <f t="shared" si="29"/>
        <v>0.19013806418966422</v>
      </c>
      <c r="I117" s="239">
        <f t="shared" si="29"/>
        <v>0.19013806418966422</v>
      </c>
      <c r="J117" s="239">
        <f t="shared" si="29"/>
        <v>0.19013806418966422</v>
      </c>
      <c r="K117" s="239">
        <f t="shared" si="29"/>
        <v>0.19013806418966422</v>
      </c>
      <c r="L117" s="239">
        <f t="shared" si="29"/>
        <v>0.19013806418966422</v>
      </c>
      <c r="M117" s="239">
        <f t="shared" si="29"/>
        <v>0.19013806418966422</v>
      </c>
      <c r="N117" s="239">
        <f t="shared" si="29"/>
        <v>0.19013806418966422</v>
      </c>
      <c r="O117" s="239">
        <f t="shared" si="29"/>
        <v>0.19013806418966422</v>
      </c>
      <c r="P117" s="239">
        <f t="shared" si="29"/>
        <v>0.19013806418966422</v>
      </c>
    </row>
    <row r="118" spans="1:16" x14ac:dyDescent="0.25">
      <c r="A118" s="155" t="s">
        <v>170</v>
      </c>
      <c r="B118" s="155"/>
      <c r="C118" s="155"/>
      <c r="D118" s="239">
        <f t="shared" si="29"/>
        <v>1.8792649673659179E-2</v>
      </c>
      <c r="E118" s="239" t="e">
        <f t="shared" si="29"/>
        <v>#DIV/0!</v>
      </c>
      <c r="F118" s="239">
        <f t="shared" si="29"/>
        <v>1.393624390749767E-2</v>
      </c>
      <c r="G118" s="239">
        <f t="shared" si="29"/>
        <v>1.9471167432242344E-2</v>
      </c>
      <c r="H118" s="239">
        <f t="shared" si="29"/>
        <v>1.9471167432242344E-2</v>
      </c>
      <c r="I118" s="239">
        <f t="shared" si="29"/>
        <v>1.9471167432242344E-2</v>
      </c>
      <c r="J118" s="239">
        <f t="shared" si="29"/>
        <v>1.9471167432242344E-2</v>
      </c>
      <c r="K118" s="239">
        <f t="shared" si="29"/>
        <v>1.9471167432242344E-2</v>
      </c>
      <c r="L118" s="239">
        <f t="shared" si="29"/>
        <v>1.9471167432242344E-2</v>
      </c>
      <c r="M118" s="239">
        <f t="shared" si="29"/>
        <v>1.9471167432242344E-2</v>
      </c>
      <c r="N118" s="239">
        <f t="shared" si="29"/>
        <v>1.9471167432242344E-2</v>
      </c>
      <c r="O118" s="239">
        <f t="shared" si="29"/>
        <v>1.9471167432242344E-2</v>
      </c>
      <c r="P118" s="239">
        <f t="shared" si="29"/>
        <v>1.9471167432242344E-2</v>
      </c>
    </row>
    <row r="119" spans="1:16" x14ac:dyDescent="0.25">
      <c r="A119" s="155" t="s">
        <v>169</v>
      </c>
      <c r="B119" s="155"/>
      <c r="C119" s="155"/>
      <c r="D119" s="239">
        <f t="shared" si="29"/>
        <v>2.4914490893310909E-2</v>
      </c>
      <c r="E119" s="239" t="e">
        <f t="shared" si="29"/>
        <v>#DIV/0!</v>
      </c>
      <c r="F119" s="239">
        <f t="shared" si="29"/>
        <v>1.8476075909986522E-2</v>
      </c>
      <c r="G119" s="239">
        <f t="shared" si="29"/>
        <v>2.5814040707239756E-2</v>
      </c>
      <c r="H119" s="239">
        <f t="shared" si="29"/>
        <v>2.5814040707239756E-2</v>
      </c>
      <c r="I119" s="239">
        <f t="shared" si="29"/>
        <v>2.5814040707239756E-2</v>
      </c>
      <c r="J119" s="239">
        <f t="shared" si="29"/>
        <v>2.5814040707239756E-2</v>
      </c>
      <c r="K119" s="239">
        <f t="shared" si="29"/>
        <v>2.5814040707239756E-2</v>
      </c>
      <c r="L119" s="239">
        <f t="shared" si="29"/>
        <v>2.5814040707239756E-2</v>
      </c>
      <c r="M119" s="239">
        <f t="shared" si="29"/>
        <v>2.5814040707239756E-2</v>
      </c>
      <c r="N119" s="239">
        <f t="shared" si="29"/>
        <v>2.5814040707239756E-2</v>
      </c>
      <c r="O119" s="239">
        <f t="shared" si="29"/>
        <v>2.5814040707239756E-2</v>
      </c>
      <c r="P119" s="239">
        <f t="shared" si="29"/>
        <v>2.5814040707239756E-2</v>
      </c>
    </row>
    <row r="120" spans="1:16" x14ac:dyDescent="0.25">
      <c r="A120" s="188" t="s">
        <v>251</v>
      </c>
      <c r="B120" s="155"/>
      <c r="C120" s="155"/>
      <c r="D120" s="239">
        <f t="shared" si="29"/>
        <v>7.1183940061847152E-3</v>
      </c>
      <c r="E120" s="239" t="e">
        <f t="shared" si="29"/>
        <v>#DIV/0!</v>
      </c>
      <c r="F120" s="239">
        <f t="shared" si="29"/>
        <v>5.2788551280721777E-3</v>
      </c>
      <c r="G120" s="239">
        <f t="shared" si="29"/>
        <v>7.3754070846841387E-3</v>
      </c>
      <c r="H120" s="239">
        <f t="shared" si="29"/>
        <v>7.3754070846841387E-3</v>
      </c>
      <c r="I120" s="239">
        <f t="shared" si="29"/>
        <v>7.3754070846841387E-3</v>
      </c>
      <c r="J120" s="239">
        <f t="shared" si="29"/>
        <v>7.3754070846841387E-3</v>
      </c>
      <c r="K120" s="239">
        <f t="shared" si="29"/>
        <v>7.3754070846841387E-3</v>
      </c>
      <c r="L120" s="239">
        <f t="shared" si="29"/>
        <v>7.3754070846841387E-3</v>
      </c>
      <c r="M120" s="239">
        <f t="shared" si="29"/>
        <v>7.3754070846841387E-3</v>
      </c>
      <c r="N120" s="239">
        <f t="shared" si="29"/>
        <v>7.3754070846841387E-3</v>
      </c>
      <c r="O120" s="239">
        <f t="shared" si="29"/>
        <v>7.3754070846841387E-3</v>
      </c>
      <c r="P120" s="239">
        <f t="shared" si="29"/>
        <v>7.3754070846841387E-3</v>
      </c>
    </row>
    <row r="121" spans="1:16" x14ac:dyDescent="0.25">
      <c r="A121" s="188" t="s">
        <v>252</v>
      </c>
      <c r="B121" s="155"/>
      <c r="C121" s="155"/>
      <c r="D121" s="239">
        <f t="shared" si="29"/>
        <v>1.7899466305037783E-3</v>
      </c>
      <c r="E121" s="239" t="e">
        <f t="shared" si="29"/>
        <v>#DIV/0!</v>
      </c>
      <c r="F121" s="239">
        <f t="shared" si="29"/>
        <v>1.3273877424038163E-3</v>
      </c>
      <c r="G121" s="239">
        <f t="shared" si="29"/>
        <v>1.8545735243587335E-3</v>
      </c>
      <c r="H121" s="239">
        <f t="shared" si="29"/>
        <v>1.8545735243587335E-3</v>
      </c>
      <c r="I121" s="239">
        <f t="shared" si="29"/>
        <v>1.8545735243587335E-3</v>
      </c>
      <c r="J121" s="239">
        <f t="shared" si="29"/>
        <v>1.8545735243587335E-3</v>
      </c>
      <c r="K121" s="239">
        <f t="shared" si="29"/>
        <v>1.8545735243587335E-3</v>
      </c>
      <c r="L121" s="239">
        <f t="shared" si="29"/>
        <v>1.8545735243587335E-3</v>
      </c>
      <c r="M121" s="239">
        <f t="shared" si="29"/>
        <v>1.8545735243587335E-3</v>
      </c>
      <c r="N121" s="239">
        <f t="shared" si="29"/>
        <v>1.8545735243587335E-3</v>
      </c>
      <c r="O121" s="239">
        <f t="shared" si="29"/>
        <v>1.8545735243587335E-3</v>
      </c>
      <c r="P121" s="239">
        <f t="shared" si="29"/>
        <v>1.8545735243587335E-3</v>
      </c>
    </row>
    <row r="122" spans="1:16" x14ac:dyDescent="0.25">
      <c r="A122" s="188" t="s">
        <v>173</v>
      </c>
      <c r="B122" s="155"/>
      <c r="C122" s="155"/>
      <c r="D122" s="239">
        <f t="shared" ref="D122:P124" si="30">D53/D$55</f>
        <v>3.6309067399769135E-2</v>
      </c>
      <c r="E122" s="239" t="e">
        <f t="shared" si="30"/>
        <v>#DIV/0!</v>
      </c>
      <c r="F122" s="239">
        <f t="shared" si="30"/>
        <v>2.6926060354661416E-2</v>
      </c>
      <c r="G122" s="239">
        <f t="shared" si="30"/>
        <v>3.7620023941616905E-2</v>
      </c>
      <c r="H122" s="239">
        <f t="shared" si="30"/>
        <v>3.7620023941616905E-2</v>
      </c>
      <c r="I122" s="239">
        <f t="shared" si="30"/>
        <v>3.7620023941616905E-2</v>
      </c>
      <c r="J122" s="239">
        <f t="shared" si="30"/>
        <v>3.7620023941616905E-2</v>
      </c>
      <c r="K122" s="239">
        <f t="shared" si="30"/>
        <v>3.7620023941616905E-2</v>
      </c>
      <c r="L122" s="239">
        <f t="shared" si="30"/>
        <v>3.7620023941616905E-2</v>
      </c>
      <c r="M122" s="239">
        <f t="shared" si="30"/>
        <v>3.7620023941616905E-2</v>
      </c>
      <c r="N122" s="239">
        <f t="shared" si="30"/>
        <v>3.7620023941616905E-2</v>
      </c>
      <c r="O122" s="239">
        <f t="shared" si="30"/>
        <v>3.7620023941616905E-2</v>
      </c>
      <c r="P122" s="239">
        <f t="shared" si="30"/>
        <v>3.7620023941616905E-2</v>
      </c>
    </row>
    <row r="123" spans="1:16" x14ac:dyDescent="0.25">
      <c r="A123" s="188" t="s">
        <v>174</v>
      </c>
      <c r="B123" s="155"/>
      <c r="C123" s="155"/>
      <c r="D123" s="239">
        <f t="shared" si="30"/>
        <v>8.9497331525188947E-3</v>
      </c>
      <c r="E123" s="239" t="e">
        <f t="shared" si="30"/>
        <v>#DIV/0!</v>
      </c>
      <c r="F123" s="239">
        <f t="shared" si="30"/>
        <v>6.6369387120190828E-3</v>
      </c>
      <c r="G123" s="239">
        <f t="shared" si="30"/>
        <v>9.2728676217936675E-3</v>
      </c>
      <c r="H123" s="239">
        <f t="shared" si="30"/>
        <v>9.2728676217936675E-3</v>
      </c>
      <c r="I123" s="239">
        <f t="shared" si="30"/>
        <v>9.2728676217936675E-3</v>
      </c>
      <c r="J123" s="239">
        <f t="shared" si="30"/>
        <v>9.2728676217936675E-3</v>
      </c>
      <c r="K123" s="239">
        <f t="shared" si="30"/>
        <v>9.2728676217936675E-3</v>
      </c>
      <c r="L123" s="239">
        <f t="shared" si="30"/>
        <v>9.2728676217936675E-3</v>
      </c>
      <c r="M123" s="239">
        <f t="shared" si="30"/>
        <v>9.2728676217936675E-3</v>
      </c>
      <c r="N123" s="239">
        <f t="shared" si="30"/>
        <v>9.2728676217936675E-3</v>
      </c>
      <c r="O123" s="239">
        <f t="shared" si="30"/>
        <v>9.2728676217936675E-3</v>
      </c>
      <c r="P123" s="239">
        <f t="shared" si="30"/>
        <v>9.2728676217936675E-3</v>
      </c>
    </row>
    <row r="124" spans="1:16" ht="15.75" thickBot="1" x14ac:dyDescent="0.3">
      <c r="A124" s="243" t="s">
        <v>228</v>
      </c>
      <c r="B124" s="243"/>
      <c r="C124" s="243"/>
      <c r="D124" s="239">
        <f t="shared" si="30"/>
        <v>1</v>
      </c>
      <c r="E124" s="239" t="e">
        <f t="shared" si="30"/>
        <v>#DIV/0!</v>
      </c>
      <c r="F124" s="239">
        <f t="shared" si="30"/>
        <v>1</v>
      </c>
      <c r="G124" s="239">
        <f t="shared" si="30"/>
        <v>1</v>
      </c>
      <c r="H124" s="239">
        <f t="shared" si="30"/>
        <v>1</v>
      </c>
      <c r="I124" s="239">
        <f t="shared" si="30"/>
        <v>1</v>
      </c>
      <c r="J124" s="239">
        <f t="shared" si="30"/>
        <v>1</v>
      </c>
      <c r="K124" s="239">
        <f t="shared" si="30"/>
        <v>1</v>
      </c>
      <c r="L124" s="239">
        <f t="shared" si="30"/>
        <v>1</v>
      </c>
      <c r="M124" s="239">
        <f t="shared" si="30"/>
        <v>1</v>
      </c>
      <c r="N124" s="239">
        <f t="shared" si="30"/>
        <v>1</v>
      </c>
      <c r="O124" s="239">
        <f t="shared" si="30"/>
        <v>1</v>
      </c>
      <c r="P124" s="239">
        <f t="shared" si="30"/>
        <v>1</v>
      </c>
    </row>
    <row r="125" spans="1:16" ht="15.75" thickTop="1" x14ac:dyDescent="0.25">
      <c r="A125" s="145" t="s">
        <v>230</v>
      </c>
      <c r="B125" s="145"/>
      <c r="C125" s="145"/>
      <c r="D125" s="197"/>
      <c r="E125" s="256">
        <f t="shared" ref="E125:P125" si="31">E57/$D$55</f>
        <v>0</v>
      </c>
      <c r="F125" s="256">
        <f t="shared" si="31"/>
        <v>0.12258846134906204</v>
      </c>
      <c r="G125" s="256">
        <f t="shared" si="31"/>
        <v>0.21032961521415586</v>
      </c>
      <c r="H125" s="256">
        <f t="shared" si="31"/>
        <v>0.29807076907924968</v>
      </c>
      <c r="I125" s="256">
        <f t="shared" si="31"/>
        <v>0.38581192294434347</v>
      </c>
      <c r="J125" s="256">
        <f t="shared" si="31"/>
        <v>0.47355307680943737</v>
      </c>
      <c r="K125" s="256">
        <f t="shared" si="31"/>
        <v>0.56129423067453121</v>
      </c>
      <c r="L125" s="256">
        <f t="shared" si="31"/>
        <v>0.64903538453962495</v>
      </c>
      <c r="M125" s="256">
        <f t="shared" si="31"/>
        <v>0.73677653840471879</v>
      </c>
      <c r="N125" s="256">
        <f t="shared" si="31"/>
        <v>0.82451769226981264</v>
      </c>
      <c r="O125" s="256">
        <f t="shared" si="31"/>
        <v>0.91225884613490638</v>
      </c>
      <c r="P125" s="256">
        <f t="shared" si="31"/>
        <v>1.0000000000000002</v>
      </c>
    </row>
    <row r="126" spans="1:16" x14ac:dyDescent="0.25">
      <c r="A126" s="257" t="s">
        <v>253</v>
      </c>
      <c r="B126" s="257"/>
      <c r="C126" s="257"/>
      <c r="D126" s="258"/>
      <c r="E126" s="259">
        <f>IFERROR(E55/E75,0)</f>
        <v>0</v>
      </c>
      <c r="F126" s="259" t="e">
        <f t="shared" ref="F126:P126" si="32">F55/F75</f>
        <v>#DIV/0!</v>
      </c>
      <c r="G126" s="259">
        <f t="shared" si="32"/>
        <v>-2.212133957517521</v>
      </c>
      <c r="H126" s="259">
        <f t="shared" si="32"/>
        <v>-2.3127892496329503</v>
      </c>
      <c r="I126" s="259">
        <f t="shared" si="32"/>
        <v>-2.4747794989858609</v>
      </c>
      <c r="J126" s="259">
        <f t="shared" si="32"/>
        <v>-2.6611707647814997</v>
      </c>
      <c r="K126" s="259">
        <f t="shared" si="32"/>
        <v>-2.8779255007794542</v>
      </c>
      <c r="L126" s="259">
        <f t="shared" si="32"/>
        <v>-3.1331210054716996</v>
      </c>
      <c r="M126" s="259">
        <f t="shared" si="32"/>
        <v>-3.4379783096723107</v>
      </c>
      <c r="N126" s="259">
        <f t="shared" si="32"/>
        <v>-3.8085564841600137</v>
      </c>
      <c r="O126" s="259">
        <f t="shared" si="32"/>
        <v>-4.2686751015990074</v>
      </c>
      <c r="P126" s="259">
        <f t="shared" si="32"/>
        <v>-4.8552462025785053</v>
      </c>
    </row>
    <row r="127" spans="1:16" x14ac:dyDescent="0.25">
      <c r="A127" s="136" t="s">
        <v>254</v>
      </c>
      <c r="B127" s="136"/>
      <c r="C127" s="136"/>
      <c r="D127" s="260"/>
      <c r="E127" s="261" t="e">
        <f t="shared" ref="E127:P127" si="33">E55/E77</f>
        <v>#DIV/0!</v>
      </c>
      <c r="F127" s="261">
        <f t="shared" si="33"/>
        <v>-3.0907058569920287</v>
      </c>
      <c r="G127" s="261">
        <f t="shared" si="33"/>
        <v>-2.3127892496329503</v>
      </c>
      <c r="H127" s="261">
        <f t="shared" si="33"/>
        <v>-2.4747794989858609</v>
      </c>
      <c r="I127" s="261">
        <f t="shared" si="33"/>
        <v>-2.6611707647814997</v>
      </c>
      <c r="J127" s="261">
        <f t="shared" si="33"/>
        <v>-2.8779255007794542</v>
      </c>
      <c r="K127" s="261">
        <f t="shared" si="33"/>
        <v>-3.1331210054716996</v>
      </c>
      <c r="L127" s="261">
        <f t="shared" si="33"/>
        <v>-3.4379783096723107</v>
      </c>
      <c r="M127" s="261">
        <f t="shared" si="33"/>
        <v>-3.8085564841600137</v>
      </c>
      <c r="N127" s="261">
        <f t="shared" si="33"/>
        <v>-4.2686751015990074</v>
      </c>
      <c r="O127" s="261">
        <f t="shared" si="33"/>
        <v>-4.8552462025785053</v>
      </c>
      <c r="P127" s="261">
        <f t="shared" si="33"/>
        <v>-5.6287026584781303</v>
      </c>
    </row>
    <row r="128" spans="1:16" x14ac:dyDescent="0.25">
      <c r="A128" s="217" t="s">
        <v>239</v>
      </c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</row>
    <row r="129" spans="1:16" x14ac:dyDescent="0.25">
      <c r="A129" s="136"/>
      <c r="B129" s="136"/>
      <c r="C129" s="136"/>
      <c r="D129" s="219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</row>
    <row r="130" spans="1:16" x14ac:dyDescent="0.25">
      <c r="A130" s="136" t="s">
        <v>240</v>
      </c>
      <c r="B130" s="136"/>
      <c r="C130" s="136"/>
      <c r="D130" s="221">
        <f>D100-D124</f>
        <v>0</v>
      </c>
      <c r="E130" s="239">
        <f t="shared" ref="E130:P130" si="34">IF(OR(E73=0,E$30=0),0,E73/E$30)</f>
        <v>0</v>
      </c>
      <c r="F130" s="239">
        <f t="shared" si="34"/>
        <v>-0.47830736048098832</v>
      </c>
      <c r="G130" s="239">
        <f t="shared" si="34"/>
        <v>1.9294247876983726E-2</v>
      </c>
      <c r="H130" s="239">
        <f t="shared" si="34"/>
        <v>2.7522992160312378E-2</v>
      </c>
      <c r="I130" s="239">
        <f t="shared" si="34"/>
        <v>2.7522992160312378E-2</v>
      </c>
      <c r="J130" s="239">
        <f t="shared" si="34"/>
        <v>2.7522992160312378E-2</v>
      </c>
      <c r="K130" s="239">
        <f t="shared" si="34"/>
        <v>2.7522992160312378E-2</v>
      </c>
      <c r="L130" s="239">
        <f t="shared" si="34"/>
        <v>2.7522992160312378E-2</v>
      </c>
      <c r="M130" s="239">
        <f t="shared" si="34"/>
        <v>2.7522992160312378E-2</v>
      </c>
      <c r="N130" s="239">
        <f t="shared" si="34"/>
        <v>2.7522992160312378E-2</v>
      </c>
      <c r="O130" s="239">
        <f t="shared" si="34"/>
        <v>2.7522992160312378E-2</v>
      </c>
      <c r="P130" s="239">
        <f t="shared" si="34"/>
        <v>2.7522992160312378E-2</v>
      </c>
    </row>
    <row r="131" spans="1:16" x14ac:dyDescent="0.25">
      <c r="A131" s="136"/>
      <c r="B131" s="136"/>
      <c r="C131" s="136"/>
      <c r="D131" s="224"/>
      <c r="E131" s="222"/>
      <c r="F131" s="221"/>
      <c r="G131" s="222"/>
      <c r="H131" s="221"/>
      <c r="I131" s="221"/>
      <c r="J131" s="221"/>
      <c r="K131" s="221"/>
      <c r="L131" s="221"/>
      <c r="M131" s="221"/>
      <c r="N131" s="221"/>
      <c r="O131" s="221"/>
      <c r="P131" s="221"/>
    </row>
    <row r="132" spans="1:16" x14ac:dyDescent="0.25">
      <c r="A132" s="136" t="s">
        <v>241</v>
      </c>
      <c r="B132" s="136"/>
      <c r="C132" s="136"/>
      <c r="D132" s="262"/>
      <c r="E132" s="263">
        <v>0</v>
      </c>
      <c r="F132" s="264">
        <f t="shared" ref="F132:P132" si="35">E134</f>
        <v>0</v>
      </c>
      <c r="G132" s="264">
        <f t="shared" si="35"/>
        <v>-0.47830736048098832</v>
      </c>
      <c r="H132" s="264">
        <f t="shared" si="35"/>
        <v>-0.45901311260400457</v>
      </c>
      <c r="I132" s="264">
        <f t="shared" si="35"/>
        <v>-0.43149012044369217</v>
      </c>
      <c r="J132" s="264">
        <f t="shared" si="35"/>
        <v>-0.40396712828337977</v>
      </c>
      <c r="K132" s="264">
        <f t="shared" si="35"/>
        <v>-0.37644413612306737</v>
      </c>
      <c r="L132" s="264">
        <f t="shared" si="35"/>
        <v>-0.34892114396275498</v>
      </c>
      <c r="M132" s="264">
        <f t="shared" si="35"/>
        <v>-0.32139815180244258</v>
      </c>
      <c r="N132" s="264">
        <f t="shared" si="35"/>
        <v>-0.29387515964213018</v>
      </c>
      <c r="O132" s="264">
        <f t="shared" si="35"/>
        <v>-0.26635216748181778</v>
      </c>
      <c r="P132" s="264">
        <f t="shared" si="35"/>
        <v>-0.23882917532150541</v>
      </c>
    </row>
    <row r="133" spans="1:16" x14ac:dyDescent="0.25">
      <c r="A133" s="136"/>
      <c r="B133" s="136"/>
      <c r="C133" s="136"/>
      <c r="D133" s="227"/>
      <c r="E133" s="228"/>
      <c r="F133" s="265"/>
      <c r="G133" s="266"/>
      <c r="H133" s="265"/>
      <c r="I133" s="265"/>
      <c r="J133" s="265"/>
      <c r="K133" s="265"/>
      <c r="L133" s="265"/>
      <c r="M133" s="265"/>
      <c r="N133" s="265"/>
      <c r="O133" s="265"/>
      <c r="P133" s="265"/>
    </row>
    <row r="134" spans="1:16" ht="15.75" thickBot="1" x14ac:dyDescent="0.3">
      <c r="A134" s="145" t="s">
        <v>242</v>
      </c>
      <c r="B134" s="145"/>
      <c r="C134" s="145"/>
      <c r="D134" s="230">
        <f>SUM(D132,D130)</f>
        <v>0</v>
      </c>
      <c r="E134" s="267">
        <f>SUM(E132,E130)</f>
        <v>0</v>
      </c>
      <c r="F134" s="267">
        <f>SUM(F132,F130)</f>
        <v>-0.47830736048098832</v>
      </c>
      <c r="G134" s="267">
        <f t="shared" ref="G134:P134" si="36">SUM(G132,G130)</f>
        <v>-0.45901311260400457</v>
      </c>
      <c r="H134" s="267">
        <f t="shared" si="36"/>
        <v>-0.43149012044369217</v>
      </c>
      <c r="I134" s="267">
        <f t="shared" si="36"/>
        <v>-0.40396712828337977</v>
      </c>
      <c r="J134" s="267">
        <f t="shared" si="36"/>
        <v>-0.37644413612306737</v>
      </c>
      <c r="K134" s="267">
        <f t="shared" si="36"/>
        <v>-0.34892114396275498</v>
      </c>
      <c r="L134" s="267">
        <f t="shared" si="36"/>
        <v>-0.32139815180244258</v>
      </c>
      <c r="M134" s="267">
        <f t="shared" si="36"/>
        <v>-0.29387515964213018</v>
      </c>
      <c r="N134" s="267">
        <f t="shared" si="36"/>
        <v>-0.26635216748181778</v>
      </c>
      <c r="O134" s="267">
        <f t="shared" si="36"/>
        <v>-0.23882917532150541</v>
      </c>
      <c r="P134" s="267">
        <f t="shared" si="36"/>
        <v>-0.21130618316119304</v>
      </c>
    </row>
    <row r="135" spans="1:16" ht="15.75" thickTop="1" x14ac:dyDescent="0.25"/>
    <row r="136" spans="1:16" x14ac:dyDescent="0.25">
      <c r="A136" s="122" t="s">
        <v>255</v>
      </c>
      <c r="E136" s="268" t="e">
        <f t="shared" ref="E136:P136" si="37">+E36/E35</f>
        <v>#DIV/0!</v>
      </c>
      <c r="F136" s="268">
        <f t="shared" si="37"/>
        <v>0.4664880952380952</v>
      </c>
      <c r="G136" s="268">
        <f t="shared" si="37"/>
        <v>0.4664880952380952</v>
      </c>
      <c r="H136" s="268">
        <f t="shared" si="37"/>
        <v>0.4664880952380952</v>
      </c>
      <c r="I136" s="268">
        <f t="shared" si="37"/>
        <v>0.4664880952380952</v>
      </c>
      <c r="J136" s="268">
        <f t="shared" si="37"/>
        <v>0.4664880952380952</v>
      </c>
      <c r="K136" s="268">
        <f t="shared" si="37"/>
        <v>0.4664880952380952</v>
      </c>
      <c r="L136" s="268">
        <f t="shared" si="37"/>
        <v>0.4664880952380952</v>
      </c>
      <c r="M136" s="268">
        <f t="shared" si="37"/>
        <v>0.4664880952380952</v>
      </c>
      <c r="N136" s="268">
        <f t="shared" si="37"/>
        <v>0.4664880952380952</v>
      </c>
      <c r="O136" s="268">
        <f t="shared" si="37"/>
        <v>0.4664880952380952</v>
      </c>
      <c r="P136" s="268">
        <f t="shared" si="37"/>
        <v>0.4664880952380952</v>
      </c>
    </row>
    <row r="137" spans="1:16" x14ac:dyDescent="0.25">
      <c r="A137" s="269" t="s">
        <v>256</v>
      </c>
      <c r="B137" s="269"/>
      <c r="C137" s="269"/>
      <c r="E137" s="195">
        <f>[1]Summary!$G$12</f>
        <v>56</v>
      </c>
      <c r="F137" s="195">
        <f>[1]Summary!$G$12</f>
        <v>56</v>
      </c>
      <c r="G137" s="195">
        <f>[1]Summary!$G$12</f>
        <v>56</v>
      </c>
      <c r="H137" s="195">
        <f>[1]Summary!$G$12</f>
        <v>56</v>
      </c>
      <c r="I137" s="195">
        <f>[1]Summary!$G$12</f>
        <v>56</v>
      </c>
      <c r="J137" s="195">
        <f>[1]Summary!$G$12</f>
        <v>56</v>
      </c>
      <c r="K137" s="195">
        <f>[1]Summary!$G$12</f>
        <v>56</v>
      </c>
      <c r="L137" s="195">
        <f>[1]Summary!$G$12</f>
        <v>56</v>
      </c>
      <c r="M137" s="195">
        <f>[1]Summary!$G$12</f>
        <v>56</v>
      </c>
      <c r="N137" s="195">
        <f>[1]Summary!$G$12</f>
        <v>56</v>
      </c>
      <c r="O137" s="195">
        <f>[1]Summary!$G$12</f>
        <v>56</v>
      </c>
      <c r="P137" s="195">
        <f>[1]Summary!$G$12</f>
        <v>56</v>
      </c>
    </row>
    <row r="138" spans="1:16" x14ac:dyDescent="0.25">
      <c r="A138" s="122" t="s">
        <v>257</v>
      </c>
      <c r="E138" s="196">
        <f>+E36/[1]Summary!$G$12</f>
        <v>0</v>
      </c>
      <c r="F138" s="196">
        <f>+F36/[1]Summary!$G$12</f>
        <v>1170.4610389610389</v>
      </c>
      <c r="G138" s="196">
        <f>+G36/[1]Summary!$G$12</f>
        <v>1170.4610389610389</v>
      </c>
      <c r="H138" s="196">
        <f>+H36/[1]Summary!$G$12</f>
        <v>1170.4610389610389</v>
      </c>
      <c r="I138" s="196">
        <f>+I36/[1]Summary!$G$12</f>
        <v>1170.4610389610389</v>
      </c>
      <c r="J138" s="196">
        <f>+J36/[1]Summary!$G$12</f>
        <v>1170.4610389610389</v>
      </c>
      <c r="K138" s="196">
        <f>+K36/[1]Summary!$G$12</f>
        <v>1170.4610389610389</v>
      </c>
      <c r="L138" s="196">
        <f>+L36/[1]Summary!$G$12</f>
        <v>1170.4610389610389</v>
      </c>
      <c r="M138" s="196">
        <f>+M36/[1]Summary!$G$12</f>
        <v>1170.4610389610389</v>
      </c>
      <c r="N138" s="196">
        <f>+N36/[1]Summary!$G$12</f>
        <v>1170.4610389610389</v>
      </c>
      <c r="O138" s="196">
        <f>+O36/[1]Summary!$G$12</f>
        <v>1170.4610389610389</v>
      </c>
      <c r="P138" s="196">
        <f>+P36/[1]Summary!$G$12</f>
        <v>1170.4610389610389</v>
      </c>
    </row>
    <row r="139" spans="1:16" x14ac:dyDescent="0.25">
      <c r="A139" s="122" t="s">
        <v>258</v>
      </c>
      <c r="E139" s="196">
        <f>+E35/[1]Summary!$G$12</f>
        <v>0</v>
      </c>
      <c r="F139" s="196">
        <f>+F35/[1]Summary!$G$12</f>
        <v>2509.090909090909</v>
      </c>
      <c r="G139" s="196">
        <f>+G35/[1]Summary!$G$12</f>
        <v>2509.090909090909</v>
      </c>
      <c r="H139" s="196">
        <f>+H35/[1]Summary!$G$12</f>
        <v>2509.090909090909</v>
      </c>
      <c r="I139" s="196">
        <f>+I35/[1]Summary!$G$12</f>
        <v>2509.090909090909</v>
      </c>
      <c r="J139" s="196">
        <f>+J35/[1]Summary!$G$12</f>
        <v>2509.090909090909</v>
      </c>
      <c r="K139" s="196">
        <f>+K35/[1]Summary!$G$12</f>
        <v>2509.090909090909</v>
      </c>
      <c r="L139" s="196">
        <f>+L35/[1]Summary!$G$12</f>
        <v>2509.090909090909</v>
      </c>
      <c r="M139" s="196">
        <f>+M35/[1]Summary!$G$12</f>
        <v>2509.090909090909</v>
      </c>
      <c r="N139" s="196">
        <f>+N35/[1]Summary!$G$12</f>
        <v>2509.090909090909</v>
      </c>
      <c r="O139" s="196">
        <f>+O35/[1]Summary!$G$12</f>
        <v>2509.090909090909</v>
      </c>
      <c r="P139" s="196">
        <f>+P35/[1]Summary!$G$12</f>
        <v>2509.090909090909</v>
      </c>
    </row>
    <row r="141" spans="1:16" x14ac:dyDescent="0.25">
      <c r="A141" s="123"/>
    </row>
  </sheetData>
  <sheetProtection algorithmName="SHA-512" hashValue="eqS16UygXWAkVncnhCs6pklvq6DUvIAqvxPR2EhVfehidj+y0DaNbCRXla4VUQjr3Av16FDhWP60QThIiI3DKg==" saltValue="actJxnUrhAigWCTdpYlNlQ==" spinCount="100000" sheet="1" selectLockedCells="1"/>
  <conditionalFormatting sqref="D67:P68 D65:D66">
    <cfRule type="cellIs" dxfId="3" priority="2" stopIfTrue="1" operator="equal">
      <formula>0</formula>
    </cfRule>
  </conditionalFormatting>
  <conditionalFormatting sqref="D84:P100">
    <cfRule type="cellIs" dxfId="2" priority="3" stopIfTrue="1" operator="equal">
      <formula>0</formula>
    </cfRule>
  </conditionalFormatting>
  <conditionalFormatting sqref="D106:P124">
    <cfRule type="cellIs" dxfId="1" priority="4" stopIfTrue="1" operator="equal">
      <formula>0</formula>
    </cfRule>
  </conditionalFormatting>
  <pageMargins left="0.25" right="0.25" top="0.5" bottom="0.45" header="0.25" footer="0.25"/>
  <pageSetup scale="63" fitToHeight="3" orientation="landscape" r:id="rId1"/>
  <headerFooter>
    <oddHeader xml:space="preserve">&amp;L &amp;C &amp;R </oddHeader>
    <oddFooter>&amp;L&amp;7&amp;D  at &amp;T Mike 702.486.8879&amp;C&amp;7&amp;F  &amp;A&amp;R&amp;7Page &amp;P of &amp;N</oddFooter>
  </headerFooter>
  <rowBreaks count="1" manualBreakCount="1">
    <brk id="79" max="14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Between" id="{FB1FEC64-8CD2-4BBC-8A03-98B79C3A7BA7}">
            <xm:f>0.95*'C:\Users\Matt.Padron\AppData\Local\Microsoft\Windows\INetCache\Content.Outlook\AYEY0R9R\[Attachment 16 - Financial Plan Workbook - CIVICA - 01.06.20 (00000004).xlsx]Enrol Staff &amp; Exp'!#REF!</xm:f>
            <xm:f>1.05*'C:\Users\Matt.Padron\AppData\Local\Microsoft\Windows\INetCache\Content.Outlook\AYEY0R9R\[Attachment 16 - Financial Plan Workbook - CIVICA - 01.06.20 (00000004).xlsx]Enrol Staff &amp; Exp'!#REF!</xm:f>
            <x14:dxf>
              <fill>
                <patternFill>
                  <bgColor rgb="FFFF0000"/>
                </patternFill>
              </fill>
            </x14:dxf>
          </x14:cfRule>
          <xm:sqref>B30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04"/>
  <sheetViews>
    <sheetView tabSelected="1" topLeftCell="B101" zoomScale="70" zoomScaleNormal="70" workbookViewId="0">
      <selection activeCell="H108" sqref="H108"/>
    </sheetView>
  </sheetViews>
  <sheetFormatPr defaultColWidth="8.85546875" defaultRowHeight="15" x14ac:dyDescent="0.25"/>
  <cols>
    <col min="1" max="1" width="55.42578125" style="3" customWidth="1"/>
    <col min="2" max="2" width="18.7109375" style="101" customWidth="1"/>
    <col min="3" max="3" width="11.7109375" style="3" bestFit="1" customWidth="1"/>
    <col min="4" max="4" width="49" style="3" bestFit="1" customWidth="1"/>
    <col min="5" max="5" width="23.42578125" style="3" customWidth="1"/>
    <col min="6" max="6" width="26.28515625" style="3" customWidth="1"/>
    <col min="7" max="7" width="16" style="3" customWidth="1"/>
    <col min="8" max="8" width="98.85546875" style="3" customWidth="1"/>
    <col min="9" max="9" width="8.85546875" style="3" customWidth="1"/>
    <col min="10" max="10" width="8.28515625" style="3" customWidth="1"/>
    <col min="11" max="11" width="8.85546875" style="3"/>
    <col min="20" max="16384" width="8.85546875" style="3"/>
  </cols>
  <sheetData>
    <row r="1" spans="1:12" ht="15.75" thickBot="1" x14ac:dyDescent="0.3">
      <c r="A1" s="1" t="s">
        <v>0</v>
      </c>
      <c r="B1" s="2" t="s">
        <v>1</v>
      </c>
      <c r="D1" s="1"/>
      <c r="E1" s="1"/>
      <c r="F1" s="1"/>
      <c r="G1" s="4"/>
      <c r="H1" s="4"/>
      <c r="I1" s="4"/>
    </row>
    <row r="2" spans="1:12" x14ac:dyDescent="0.25">
      <c r="A2" s="5" t="s">
        <v>2</v>
      </c>
      <c r="B2" s="6">
        <v>7288</v>
      </c>
    </row>
    <row r="3" spans="1:12" x14ac:dyDescent="0.25">
      <c r="A3" s="7" t="s">
        <v>3</v>
      </c>
      <c r="B3" s="8">
        <v>570</v>
      </c>
      <c r="C3" s="9"/>
      <c r="K3" s="10"/>
    </row>
    <row r="4" spans="1:12" x14ac:dyDescent="0.25">
      <c r="A4" s="11" t="s">
        <v>4</v>
      </c>
      <c r="B4" s="12">
        <v>100</v>
      </c>
      <c r="C4" s="9"/>
      <c r="D4" s="13"/>
      <c r="E4" s="13"/>
      <c r="F4" s="13"/>
      <c r="G4" s="13"/>
      <c r="H4" s="13"/>
      <c r="I4" s="13"/>
      <c r="J4" s="13"/>
      <c r="K4" s="14"/>
      <c r="L4" s="15"/>
    </row>
    <row r="5" spans="1:12" x14ac:dyDescent="0.25">
      <c r="A5" s="16" t="s">
        <v>5</v>
      </c>
      <c r="B5" s="12">
        <v>100</v>
      </c>
      <c r="C5" s="9"/>
      <c r="D5" s="13"/>
      <c r="E5" s="13"/>
      <c r="F5" s="13"/>
      <c r="G5" s="13"/>
      <c r="H5" s="13"/>
      <c r="I5" s="13"/>
      <c r="J5" s="13"/>
      <c r="K5" s="14"/>
      <c r="L5" s="15"/>
    </row>
    <row r="6" spans="1:12" x14ac:dyDescent="0.25">
      <c r="A6" s="16" t="s">
        <v>6</v>
      </c>
      <c r="B6" s="12">
        <v>75</v>
      </c>
      <c r="C6" s="9"/>
      <c r="D6" s="13"/>
      <c r="E6" s="13"/>
      <c r="F6" s="13"/>
      <c r="G6" s="13"/>
      <c r="H6" s="13"/>
      <c r="I6" s="13"/>
      <c r="J6" s="13"/>
      <c r="K6" s="14"/>
      <c r="L6" s="15"/>
    </row>
    <row r="7" spans="1:12" x14ac:dyDescent="0.25">
      <c r="A7" s="17" t="s">
        <v>7</v>
      </c>
      <c r="B7" s="12">
        <v>75</v>
      </c>
      <c r="C7" s="9"/>
      <c r="D7" s="13"/>
      <c r="E7" s="13"/>
      <c r="F7" s="13"/>
      <c r="G7" s="13"/>
      <c r="H7" s="13"/>
      <c r="I7" s="13"/>
      <c r="J7" s="13"/>
      <c r="K7" s="14"/>
      <c r="L7" s="15"/>
    </row>
    <row r="8" spans="1:12" x14ac:dyDescent="0.25">
      <c r="A8" s="17" t="s">
        <v>8</v>
      </c>
      <c r="B8" s="12">
        <v>50</v>
      </c>
      <c r="C8" s="9"/>
      <c r="D8" s="13"/>
      <c r="E8" s="13"/>
      <c r="F8" s="13"/>
      <c r="G8" s="13"/>
      <c r="H8" s="13"/>
      <c r="I8" s="13"/>
      <c r="J8" s="13"/>
      <c r="K8" s="14"/>
      <c r="L8" s="15"/>
    </row>
    <row r="9" spans="1:12" x14ac:dyDescent="0.25">
      <c r="A9" s="17" t="s">
        <v>9</v>
      </c>
      <c r="B9" s="12">
        <v>50</v>
      </c>
      <c r="C9" s="9"/>
      <c r="D9" s="13"/>
      <c r="E9" s="13"/>
      <c r="F9" s="13"/>
      <c r="G9" s="13"/>
      <c r="H9" s="13"/>
      <c r="I9" s="13"/>
      <c r="J9" s="13"/>
      <c r="K9" s="14"/>
      <c r="L9" s="15"/>
    </row>
    <row r="10" spans="1:12" x14ac:dyDescent="0.25">
      <c r="A10" s="17" t="s">
        <v>10</v>
      </c>
      <c r="B10" s="12">
        <v>60</v>
      </c>
      <c r="C10" s="9"/>
      <c r="D10" s="13"/>
      <c r="E10" s="13"/>
      <c r="F10" s="13"/>
      <c r="G10" s="13"/>
      <c r="H10" s="13"/>
      <c r="I10" s="13"/>
      <c r="J10" s="13"/>
      <c r="K10" s="10"/>
    </row>
    <row r="11" spans="1:12" x14ac:dyDescent="0.25">
      <c r="A11" s="17" t="s">
        <v>11</v>
      </c>
      <c r="B11" s="12">
        <v>60</v>
      </c>
      <c r="C11" s="9"/>
      <c r="D11" s="13"/>
      <c r="E11" s="13"/>
      <c r="F11" s="13"/>
      <c r="G11" s="13"/>
      <c r="H11" s="13"/>
      <c r="I11" s="13"/>
      <c r="J11" s="13"/>
      <c r="K11" s="14"/>
    </row>
    <row r="12" spans="1:12" x14ac:dyDescent="0.25">
      <c r="A12" s="17" t="s">
        <v>12</v>
      </c>
      <c r="B12" s="12">
        <v>0</v>
      </c>
      <c r="C12" s="9"/>
      <c r="D12" s="13"/>
      <c r="E12" s="13"/>
      <c r="F12" s="13"/>
      <c r="G12" s="13"/>
      <c r="H12" s="13"/>
      <c r="I12" s="13"/>
      <c r="J12" s="13"/>
      <c r="K12" s="14"/>
    </row>
    <row r="13" spans="1:12" x14ac:dyDescent="0.25">
      <c r="A13" s="17" t="s">
        <v>13</v>
      </c>
      <c r="B13" s="12">
        <v>0</v>
      </c>
      <c r="C13" s="9"/>
      <c r="D13" s="13"/>
      <c r="E13" s="13"/>
      <c r="F13" s="13"/>
      <c r="G13" s="13"/>
      <c r="H13" s="13"/>
      <c r="I13" s="13"/>
      <c r="J13" s="13"/>
      <c r="K13" s="14"/>
    </row>
    <row r="14" spans="1:12" x14ac:dyDescent="0.25">
      <c r="A14" s="17" t="s">
        <v>14</v>
      </c>
      <c r="B14" s="12">
        <v>0</v>
      </c>
      <c r="C14" s="9"/>
      <c r="D14" s="13"/>
      <c r="E14" s="13"/>
      <c r="F14" s="13"/>
      <c r="G14" s="13"/>
      <c r="H14" s="13"/>
      <c r="I14" s="13"/>
      <c r="J14" s="13"/>
      <c r="K14" s="18"/>
    </row>
    <row r="15" spans="1:12" x14ac:dyDescent="0.25">
      <c r="A15" s="17" t="s">
        <v>15</v>
      </c>
      <c r="B15" s="12">
        <v>0</v>
      </c>
      <c r="C15" s="9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A16" s="17" t="s">
        <v>16</v>
      </c>
      <c r="B16" s="12">
        <v>0</v>
      </c>
      <c r="C16" s="9"/>
      <c r="D16" s="13"/>
      <c r="E16" s="13"/>
      <c r="F16" s="13"/>
      <c r="G16" s="13"/>
      <c r="H16" s="13"/>
      <c r="I16" s="13"/>
      <c r="J16" s="13"/>
    </row>
    <row r="17" spans="1:10" x14ac:dyDescent="0.25">
      <c r="A17" s="17" t="s">
        <v>3</v>
      </c>
      <c r="B17" s="19">
        <v>570</v>
      </c>
      <c r="C17" s="9"/>
      <c r="D17" s="13"/>
      <c r="E17" s="13"/>
      <c r="F17" s="13"/>
      <c r="G17" s="13"/>
      <c r="H17" s="13"/>
      <c r="I17" s="13"/>
      <c r="J17" s="13"/>
    </row>
    <row r="18" spans="1:10" x14ac:dyDescent="0.25">
      <c r="A18" s="20"/>
      <c r="B18" s="21"/>
      <c r="C18" s="9"/>
      <c r="D18" s="13"/>
      <c r="E18" s="13"/>
      <c r="F18" s="13"/>
      <c r="G18" s="13"/>
      <c r="H18" s="13"/>
      <c r="I18" s="13"/>
      <c r="J18" s="13"/>
    </row>
    <row r="19" spans="1:10" x14ac:dyDescent="0.25">
      <c r="A19" s="22" t="s">
        <v>17</v>
      </c>
      <c r="B19" s="23" t="s">
        <v>1</v>
      </c>
      <c r="C19" s="9"/>
      <c r="D19" s="13"/>
      <c r="E19" s="13"/>
      <c r="F19" s="13"/>
      <c r="G19" s="13"/>
      <c r="H19" s="13"/>
      <c r="I19" s="13"/>
      <c r="J19" s="13"/>
    </row>
    <row r="20" spans="1:10" x14ac:dyDescent="0.25">
      <c r="A20" s="24" t="s">
        <v>18</v>
      </c>
      <c r="B20" s="21">
        <v>68.399999999999991</v>
      </c>
      <c r="C20" s="25"/>
      <c r="D20" s="25"/>
      <c r="E20" s="25"/>
      <c r="F20" s="25"/>
      <c r="G20" s="25"/>
      <c r="H20" s="25"/>
      <c r="I20" s="13"/>
      <c r="J20" s="13"/>
    </row>
    <row r="21" spans="1:10" x14ac:dyDescent="0.25">
      <c r="A21" s="24"/>
      <c r="B21" s="21"/>
      <c r="C21" s="9"/>
    </row>
    <row r="22" spans="1:10" x14ac:dyDescent="0.25">
      <c r="A22" s="24"/>
      <c r="B22" s="21"/>
      <c r="C22" s="9"/>
    </row>
    <row r="23" spans="1:10" x14ac:dyDescent="0.25">
      <c r="A23" s="24" t="s">
        <v>19</v>
      </c>
      <c r="B23" s="26">
        <v>0.95</v>
      </c>
      <c r="C23" s="9"/>
    </row>
    <row r="24" spans="1:10" x14ac:dyDescent="0.25">
      <c r="A24" s="27"/>
      <c r="B24" s="28"/>
      <c r="C24" s="9"/>
    </row>
    <row r="25" spans="1:10" x14ac:dyDescent="0.25">
      <c r="A25" s="22" t="s">
        <v>20</v>
      </c>
      <c r="B25" s="23" t="s">
        <v>1</v>
      </c>
      <c r="C25" s="9"/>
    </row>
    <row r="26" spans="1:10" x14ac:dyDescent="0.25">
      <c r="A26" s="29" t="s">
        <v>21</v>
      </c>
      <c r="B26" s="30">
        <v>22</v>
      </c>
      <c r="C26" s="9"/>
      <c r="D26" s="13"/>
      <c r="E26" s="13"/>
    </row>
    <row r="27" spans="1:10" x14ac:dyDescent="0.25">
      <c r="A27" s="29" t="s">
        <v>22</v>
      </c>
      <c r="B27" s="31">
        <v>3</v>
      </c>
      <c r="C27" s="9"/>
      <c r="D27" s="13"/>
      <c r="E27" s="13"/>
      <c r="F27" s="13"/>
      <c r="G27" s="13"/>
      <c r="H27" s="13"/>
      <c r="I27" s="13"/>
    </row>
    <row r="28" spans="1:10" x14ac:dyDescent="0.25">
      <c r="A28" s="29" t="s">
        <v>23</v>
      </c>
      <c r="B28" s="31">
        <v>1</v>
      </c>
      <c r="C28" s="9"/>
    </row>
    <row r="29" spans="1:10" x14ac:dyDescent="0.25">
      <c r="A29" s="29" t="s">
        <v>24</v>
      </c>
      <c r="B29" s="31">
        <v>1</v>
      </c>
      <c r="C29" s="9"/>
      <c r="D29" s="32"/>
      <c r="E29" s="32"/>
      <c r="F29" s="32"/>
      <c r="G29" s="32"/>
      <c r="H29" s="32"/>
      <c r="I29" s="32"/>
    </row>
    <row r="30" spans="1:10" x14ac:dyDescent="0.25">
      <c r="A30" s="29" t="s">
        <v>25</v>
      </c>
      <c r="B30" s="31">
        <v>1</v>
      </c>
      <c r="C30" s="9"/>
    </row>
    <row r="31" spans="1:10" x14ac:dyDescent="0.25">
      <c r="A31" s="29" t="s">
        <v>26</v>
      </c>
      <c r="B31" s="31">
        <v>0</v>
      </c>
      <c r="C31" s="9"/>
    </row>
    <row r="32" spans="1:10" x14ac:dyDescent="0.25">
      <c r="A32" s="33" t="s">
        <v>27</v>
      </c>
      <c r="B32" s="31">
        <v>0</v>
      </c>
      <c r="C32" s="9"/>
    </row>
    <row r="33" spans="1:3" x14ac:dyDescent="0.25">
      <c r="A33" s="33" t="s">
        <v>28</v>
      </c>
      <c r="B33" s="31">
        <v>0</v>
      </c>
      <c r="C33" s="9"/>
    </row>
    <row r="34" spans="1:3" x14ac:dyDescent="0.25">
      <c r="A34" s="33" t="s">
        <v>29</v>
      </c>
      <c r="B34" s="31">
        <v>0</v>
      </c>
      <c r="C34" s="9"/>
    </row>
    <row r="35" spans="1:3" x14ac:dyDescent="0.25">
      <c r="A35" s="33" t="s">
        <v>30</v>
      </c>
      <c r="B35" s="31">
        <v>0</v>
      </c>
      <c r="C35" s="9"/>
    </row>
    <row r="36" spans="1:3" x14ac:dyDescent="0.25">
      <c r="A36" s="34" t="s">
        <v>31</v>
      </c>
      <c r="B36" s="35">
        <v>28</v>
      </c>
      <c r="C36" s="9"/>
    </row>
    <row r="37" spans="1:3" x14ac:dyDescent="0.25">
      <c r="A37" s="36"/>
      <c r="B37" s="37"/>
      <c r="C37" s="9"/>
    </row>
    <row r="38" spans="1:3" x14ac:dyDescent="0.25">
      <c r="A38" s="22" t="s">
        <v>32</v>
      </c>
      <c r="B38" s="23" t="s">
        <v>1</v>
      </c>
      <c r="C38" s="9"/>
    </row>
    <row r="39" spans="1:3" x14ac:dyDescent="0.25">
      <c r="A39" s="29" t="s">
        <v>33</v>
      </c>
      <c r="B39" s="31">
        <v>0</v>
      </c>
      <c r="C39" s="9"/>
    </row>
    <row r="40" spans="1:3" x14ac:dyDescent="0.25">
      <c r="A40" s="29" t="s">
        <v>34</v>
      </c>
      <c r="B40" s="31">
        <v>1</v>
      </c>
      <c r="C40" s="9"/>
    </row>
    <row r="41" spans="1:3" x14ac:dyDescent="0.25">
      <c r="A41" s="29" t="s">
        <v>35</v>
      </c>
      <c r="B41" s="31">
        <v>1</v>
      </c>
      <c r="C41" s="9"/>
    </row>
    <row r="42" spans="1:3" x14ac:dyDescent="0.25">
      <c r="A42" s="38" t="s">
        <v>36</v>
      </c>
      <c r="B42" s="31">
        <v>1</v>
      </c>
      <c r="C42" s="9"/>
    </row>
    <row r="43" spans="1:3" x14ac:dyDescent="0.25">
      <c r="A43" s="38" t="s">
        <v>37</v>
      </c>
      <c r="B43" s="31">
        <v>0</v>
      </c>
      <c r="C43" s="9"/>
    </row>
    <row r="44" spans="1:3" x14ac:dyDescent="0.25">
      <c r="A44" s="38" t="s">
        <v>38</v>
      </c>
      <c r="B44" s="31">
        <v>0</v>
      </c>
      <c r="C44" s="9"/>
    </row>
    <row r="45" spans="1:3" x14ac:dyDescent="0.25">
      <c r="A45" s="29" t="s">
        <v>39</v>
      </c>
      <c r="B45" s="31">
        <v>1</v>
      </c>
      <c r="C45" s="9"/>
    </row>
    <row r="46" spans="1:3" x14ac:dyDescent="0.25">
      <c r="A46" s="29" t="s">
        <v>40</v>
      </c>
      <c r="B46" s="31">
        <v>0</v>
      </c>
      <c r="C46" s="9"/>
    </row>
    <row r="47" spans="1:3" x14ac:dyDescent="0.25">
      <c r="A47" s="29" t="s">
        <v>41</v>
      </c>
      <c r="B47" s="31">
        <v>0</v>
      </c>
      <c r="C47" s="9"/>
    </row>
    <row r="48" spans="1:3" x14ac:dyDescent="0.25">
      <c r="A48" s="29" t="s">
        <v>42</v>
      </c>
      <c r="B48" s="31">
        <v>1</v>
      </c>
      <c r="C48" s="9"/>
    </row>
    <row r="49" spans="1:3" x14ac:dyDescent="0.25">
      <c r="A49" s="29" t="s">
        <v>43</v>
      </c>
      <c r="B49" s="31">
        <v>1</v>
      </c>
      <c r="C49" s="9"/>
    </row>
    <row r="50" spans="1:3" x14ac:dyDescent="0.25">
      <c r="A50" s="29" t="s">
        <v>44</v>
      </c>
      <c r="B50" s="31">
        <v>1</v>
      </c>
      <c r="C50" s="9"/>
    </row>
    <row r="51" spans="1:3" x14ac:dyDescent="0.25">
      <c r="A51" s="29" t="s">
        <v>45</v>
      </c>
      <c r="B51" s="31">
        <v>1</v>
      </c>
      <c r="C51" s="9"/>
    </row>
    <row r="52" spans="1:3" x14ac:dyDescent="0.25">
      <c r="A52" s="39" t="s">
        <v>46</v>
      </c>
      <c r="B52" s="31">
        <v>0</v>
      </c>
      <c r="C52" s="9"/>
    </row>
    <row r="53" spans="1:3" x14ac:dyDescent="0.25">
      <c r="A53" s="39" t="s">
        <v>47</v>
      </c>
      <c r="B53" s="31">
        <v>0</v>
      </c>
      <c r="C53" s="9"/>
    </row>
    <row r="54" spans="1:3" x14ac:dyDescent="0.25">
      <c r="A54" s="39" t="s">
        <v>48</v>
      </c>
      <c r="B54" s="31">
        <v>0</v>
      </c>
      <c r="C54" s="9"/>
    </row>
    <row r="55" spans="1:3" x14ac:dyDescent="0.25">
      <c r="A55" s="39" t="s">
        <v>49</v>
      </c>
      <c r="B55" s="31">
        <v>0</v>
      </c>
      <c r="C55" s="9"/>
    </row>
    <row r="56" spans="1:3" x14ac:dyDescent="0.25">
      <c r="A56" s="39" t="s">
        <v>50</v>
      </c>
      <c r="B56" s="31">
        <v>0</v>
      </c>
      <c r="C56" s="9"/>
    </row>
    <row r="57" spans="1:3" x14ac:dyDescent="0.25">
      <c r="A57" s="40"/>
      <c r="B57" s="41"/>
      <c r="C57" s="9"/>
    </row>
    <row r="58" spans="1:3" x14ac:dyDescent="0.25">
      <c r="A58" s="34" t="s">
        <v>51</v>
      </c>
      <c r="B58" s="42">
        <v>8</v>
      </c>
      <c r="C58" s="9"/>
    </row>
    <row r="59" spans="1:3" x14ac:dyDescent="0.25">
      <c r="A59" s="43"/>
      <c r="B59" s="44"/>
      <c r="C59" s="9"/>
    </row>
    <row r="60" spans="1:3" x14ac:dyDescent="0.25">
      <c r="A60" s="45" t="s">
        <v>52</v>
      </c>
      <c r="B60" s="46">
        <v>28</v>
      </c>
      <c r="C60" s="9"/>
    </row>
    <row r="61" spans="1:3" ht="15.75" thickBot="1" x14ac:dyDescent="0.3">
      <c r="A61" s="47" t="s">
        <v>53</v>
      </c>
      <c r="B61" s="48">
        <v>8</v>
      </c>
      <c r="C61" s="9"/>
    </row>
    <row r="62" spans="1:3" x14ac:dyDescent="0.25">
      <c r="A62" s="49" t="s">
        <v>54</v>
      </c>
      <c r="B62" s="50">
        <v>36</v>
      </c>
      <c r="C62" s="9"/>
    </row>
    <row r="63" spans="1:3" x14ac:dyDescent="0.25">
      <c r="A63" s="39"/>
      <c r="B63" s="51"/>
      <c r="C63" s="9"/>
    </row>
    <row r="64" spans="1:3" x14ac:dyDescent="0.25">
      <c r="A64" s="52" t="s">
        <v>55</v>
      </c>
      <c r="B64" s="53">
        <v>0.5251545772988101</v>
      </c>
      <c r="C64" s="9"/>
    </row>
    <row r="65" spans="1:5" x14ac:dyDescent="0.25">
      <c r="A65" s="36" t="s">
        <v>56</v>
      </c>
      <c r="B65" s="54">
        <v>0.76992753623188404</v>
      </c>
      <c r="C65" s="9"/>
    </row>
    <row r="66" spans="1:5" x14ac:dyDescent="0.25">
      <c r="A66" s="52" t="s">
        <v>57</v>
      </c>
      <c r="B66" s="53">
        <v>0.23007246376811594</v>
      </c>
      <c r="C66" s="9"/>
    </row>
    <row r="67" spans="1:5" x14ac:dyDescent="0.25">
      <c r="A67" s="36" t="s">
        <v>58</v>
      </c>
      <c r="B67" s="54">
        <v>0.18597538738219596</v>
      </c>
      <c r="C67" s="9"/>
    </row>
    <row r="68" spans="1:5" x14ac:dyDescent="0.25">
      <c r="A68" s="55"/>
      <c r="B68" s="56"/>
      <c r="C68" s="9"/>
    </row>
    <row r="69" spans="1:5" x14ac:dyDescent="0.25">
      <c r="A69" s="57"/>
      <c r="B69" s="58"/>
      <c r="C69" s="9"/>
    </row>
    <row r="70" spans="1:5" x14ac:dyDescent="0.25">
      <c r="A70" s="36" t="s">
        <v>59</v>
      </c>
      <c r="B70" s="59"/>
      <c r="C70" s="9"/>
    </row>
    <row r="71" spans="1:5" x14ac:dyDescent="0.25">
      <c r="A71" s="60" t="s">
        <v>60</v>
      </c>
      <c r="B71" s="119">
        <v>4091847.6</v>
      </c>
      <c r="C71" s="9"/>
    </row>
    <row r="72" spans="1:5" x14ac:dyDescent="0.25">
      <c r="A72" s="39" t="s">
        <v>61</v>
      </c>
      <c r="B72" s="271">
        <v>292410</v>
      </c>
      <c r="C72" s="9"/>
      <c r="E72" s="3" t="s">
        <v>62</v>
      </c>
    </row>
    <row r="73" spans="1:5" x14ac:dyDescent="0.25">
      <c r="A73" s="39" t="s">
        <v>63</v>
      </c>
      <c r="B73" s="109">
        <v>28500</v>
      </c>
      <c r="C73" s="9"/>
      <c r="D73" s="62"/>
    </row>
    <row r="74" spans="1:5" x14ac:dyDescent="0.25">
      <c r="A74" s="39" t="s">
        <v>64</v>
      </c>
      <c r="B74" s="61">
        <v>0</v>
      </c>
      <c r="C74" s="9"/>
      <c r="D74" s="9"/>
    </row>
    <row r="75" spans="1:5" x14ac:dyDescent="0.25">
      <c r="A75" s="63" t="s">
        <v>65</v>
      </c>
      <c r="B75" s="61">
        <v>0</v>
      </c>
      <c r="C75" s="9"/>
    </row>
    <row r="76" spans="1:5" x14ac:dyDescent="0.25">
      <c r="A76" s="34" t="s">
        <v>66</v>
      </c>
      <c r="B76" s="19">
        <v>4412757.5999999996</v>
      </c>
      <c r="C76" s="9"/>
    </row>
    <row r="77" spans="1:5" hidden="1" x14ac:dyDescent="0.25">
      <c r="A77" s="60" t="s">
        <v>67</v>
      </c>
      <c r="B77" s="61">
        <v>4154160</v>
      </c>
      <c r="C77" s="9"/>
    </row>
    <row r="78" spans="1:5" hidden="1" x14ac:dyDescent="0.25">
      <c r="A78" s="39" t="s">
        <v>68</v>
      </c>
      <c r="B78" s="61">
        <v>292410</v>
      </c>
      <c r="C78" s="9"/>
    </row>
    <row r="79" spans="1:5" hidden="1" x14ac:dyDescent="0.25">
      <c r="A79" s="39" t="s">
        <v>69</v>
      </c>
      <c r="B79" s="61">
        <v>28500</v>
      </c>
      <c r="C79" s="9"/>
    </row>
    <row r="80" spans="1:5" hidden="1" x14ac:dyDescent="0.25">
      <c r="A80" s="39" t="s">
        <v>64</v>
      </c>
      <c r="B80" s="61">
        <v>0</v>
      </c>
      <c r="C80" s="9"/>
    </row>
    <row r="81" spans="1:9" hidden="1" x14ac:dyDescent="0.25">
      <c r="A81" s="63" t="s">
        <v>70</v>
      </c>
      <c r="B81" s="61">
        <v>0</v>
      </c>
      <c r="C81" s="9"/>
    </row>
    <row r="82" spans="1:9" hidden="1" x14ac:dyDescent="0.25">
      <c r="A82" s="64" t="s">
        <v>71</v>
      </c>
      <c r="B82" s="19">
        <v>4475070</v>
      </c>
      <c r="C82" s="9"/>
    </row>
    <row r="83" spans="1:9" x14ac:dyDescent="0.25">
      <c r="A83" s="57"/>
      <c r="B83" s="58"/>
      <c r="C83" s="9"/>
    </row>
    <row r="84" spans="1:9" x14ac:dyDescent="0.25">
      <c r="A84" s="36" t="s">
        <v>72</v>
      </c>
      <c r="B84" s="65"/>
      <c r="C84" s="9"/>
    </row>
    <row r="85" spans="1:9" x14ac:dyDescent="0.25">
      <c r="A85" s="66" t="s">
        <v>73</v>
      </c>
      <c r="B85" s="67" t="s">
        <v>1</v>
      </c>
      <c r="C85" s="9"/>
    </row>
    <row r="86" spans="1:9" x14ac:dyDescent="0.25">
      <c r="A86" s="39" t="s">
        <v>34</v>
      </c>
      <c r="B86" s="61">
        <v>100000</v>
      </c>
      <c r="C86" s="9"/>
      <c r="E86" s="13"/>
    </row>
    <row r="87" spans="1:9" x14ac:dyDescent="0.25">
      <c r="A87" s="39" t="s">
        <v>74</v>
      </c>
      <c r="B87" s="61">
        <v>75000</v>
      </c>
      <c r="C87" s="9"/>
      <c r="E87" s="13"/>
    </row>
    <row r="88" spans="1:9" x14ac:dyDescent="0.25">
      <c r="A88" s="39" t="s">
        <v>36</v>
      </c>
      <c r="B88" s="61">
        <v>57000</v>
      </c>
      <c r="C88" s="9"/>
      <c r="E88" s="13"/>
    </row>
    <row r="89" spans="1:9" x14ac:dyDescent="0.25">
      <c r="A89" s="39" t="s">
        <v>38</v>
      </c>
      <c r="B89" s="61">
        <v>0</v>
      </c>
      <c r="C89" s="9"/>
      <c r="D89" s="15"/>
      <c r="E89" s="13"/>
    </row>
    <row r="90" spans="1:9" x14ac:dyDescent="0.25">
      <c r="A90" s="39" t="s">
        <v>75</v>
      </c>
      <c r="B90" s="61">
        <v>0</v>
      </c>
      <c r="C90" s="9"/>
      <c r="E90" s="13"/>
    </row>
    <row r="91" spans="1:9" x14ac:dyDescent="0.25">
      <c r="A91" s="39" t="s">
        <v>76</v>
      </c>
      <c r="B91" s="61">
        <v>1062500</v>
      </c>
      <c r="C91" s="9"/>
      <c r="E91" s="9"/>
      <c r="F91" s="9"/>
      <c r="G91" s="9"/>
      <c r="H91" s="9"/>
      <c r="I91" s="9"/>
    </row>
    <row r="92" spans="1:9" x14ac:dyDescent="0.25">
      <c r="A92" s="39" t="s">
        <v>22</v>
      </c>
      <c r="B92" s="61">
        <v>127500</v>
      </c>
      <c r="C92" s="9"/>
      <c r="E92" s="13"/>
      <c r="F92" s="13"/>
      <c r="G92" s="13"/>
      <c r="H92" s="13"/>
    </row>
    <row r="93" spans="1:9" x14ac:dyDescent="0.25">
      <c r="A93" s="39" t="s">
        <v>77</v>
      </c>
      <c r="B93" s="61">
        <v>40000</v>
      </c>
      <c r="C93" s="13"/>
      <c r="E93" s="13"/>
      <c r="F93" s="13"/>
      <c r="G93" s="13"/>
      <c r="H93" s="13"/>
    </row>
    <row r="94" spans="1:9" x14ac:dyDescent="0.25">
      <c r="A94" s="39" t="s">
        <v>78</v>
      </c>
      <c r="B94" s="61">
        <v>19760</v>
      </c>
      <c r="C94" s="9"/>
      <c r="E94" s="13"/>
    </row>
    <row r="95" spans="1:9" x14ac:dyDescent="0.25">
      <c r="A95" s="39" t="s">
        <v>79</v>
      </c>
      <c r="B95" s="61">
        <v>18720</v>
      </c>
      <c r="C95" s="9"/>
      <c r="E95" s="13"/>
    </row>
    <row r="96" spans="1:9" x14ac:dyDescent="0.25">
      <c r="A96" s="39" t="s">
        <v>80</v>
      </c>
      <c r="B96" s="61">
        <v>24960</v>
      </c>
      <c r="C96" s="9"/>
      <c r="E96" s="13"/>
    </row>
    <row r="97" spans="1:8" x14ac:dyDescent="0.25">
      <c r="A97" s="68" t="s">
        <v>81</v>
      </c>
      <c r="B97" s="69">
        <v>1525440</v>
      </c>
      <c r="C97" s="9"/>
    </row>
    <row r="98" spans="1:8" x14ac:dyDescent="0.25">
      <c r="A98" s="39"/>
      <c r="B98" s="21"/>
      <c r="C98" s="9"/>
    </row>
    <row r="99" spans="1:8" x14ac:dyDescent="0.25">
      <c r="A99" s="68" t="s">
        <v>82</v>
      </c>
      <c r="B99" s="70"/>
      <c r="C99" s="9"/>
    </row>
    <row r="100" spans="1:8" ht="15.75" thickBot="1" x14ac:dyDescent="0.3">
      <c r="A100" s="39" t="s">
        <v>46</v>
      </c>
      <c r="B100" s="61">
        <v>0</v>
      </c>
      <c r="C100" s="9"/>
    </row>
    <row r="101" spans="1:8" ht="30.75" thickBot="1" x14ac:dyDescent="0.3">
      <c r="A101" s="39" t="s">
        <v>47</v>
      </c>
      <c r="B101" s="61">
        <v>0</v>
      </c>
      <c r="C101" s="9"/>
      <c r="D101" s="329"/>
      <c r="E101" s="330" t="s">
        <v>162</v>
      </c>
      <c r="F101" s="331" t="s">
        <v>163</v>
      </c>
      <c r="G101" s="331" t="s">
        <v>175</v>
      </c>
      <c r="H101" s="332" t="s">
        <v>262</v>
      </c>
    </row>
    <row r="102" spans="1:8" x14ac:dyDescent="0.25">
      <c r="A102" s="39" t="s">
        <v>48</v>
      </c>
      <c r="B102" s="61">
        <v>0</v>
      </c>
      <c r="C102" s="9"/>
      <c r="D102" s="284" t="s">
        <v>259</v>
      </c>
      <c r="E102" s="285">
        <f>B71</f>
        <v>4091847.6</v>
      </c>
      <c r="F102" s="277">
        <v>4128481</v>
      </c>
      <c r="G102" s="286">
        <f>F102-E102</f>
        <v>36633.399999999907</v>
      </c>
      <c r="H102" s="287"/>
    </row>
    <row r="103" spans="1:8" x14ac:dyDescent="0.25">
      <c r="A103" s="39" t="s">
        <v>49</v>
      </c>
      <c r="B103" s="61">
        <v>0</v>
      </c>
      <c r="C103" s="9"/>
      <c r="D103" s="288" t="s">
        <v>260</v>
      </c>
      <c r="E103" s="289">
        <f>-B137</f>
        <v>-51927</v>
      </c>
      <c r="F103" s="277">
        <v>-51606</v>
      </c>
      <c r="G103" s="286">
        <f t="shared" ref="G103:G105" si="0">F103-E103</f>
        <v>321</v>
      </c>
      <c r="H103" s="287"/>
    </row>
    <row r="104" spans="1:8" x14ac:dyDescent="0.25">
      <c r="A104" s="39" t="s">
        <v>83</v>
      </c>
      <c r="B104" s="61">
        <v>0</v>
      </c>
      <c r="C104" s="9"/>
      <c r="D104" s="290" t="s">
        <v>68</v>
      </c>
      <c r="E104" s="291">
        <f>B72</f>
        <v>292410</v>
      </c>
      <c r="F104" s="277">
        <v>292410</v>
      </c>
      <c r="G104" s="286">
        <f t="shared" si="0"/>
        <v>0</v>
      </c>
      <c r="H104" s="287"/>
    </row>
    <row r="105" spans="1:8" x14ac:dyDescent="0.25">
      <c r="A105" s="39" t="s">
        <v>84</v>
      </c>
      <c r="B105" s="61">
        <v>20160</v>
      </c>
      <c r="C105" s="9"/>
      <c r="D105" s="292" t="s">
        <v>261</v>
      </c>
      <c r="E105" s="293">
        <f>B73</f>
        <v>28500</v>
      </c>
      <c r="F105" s="277">
        <v>30452</v>
      </c>
      <c r="G105" s="286">
        <f t="shared" si="0"/>
        <v>1952</v>
      </c>
      <c r="H105" s="287"/>
    </row>
    <row r="106" spans="1:8" x14ac:dyDescent="0.25">
      <c r="A106" s="39" t="s">
        <v>85</v>
      </c>
      <c r="B106" s="61">
        <v>0</v>
      </c>
      <c r="C106" s="9"/>
      <c r="D106" s="57"/>
      <c r="E106" s="294"/>
      <c r="F106" s="92"/>
      <c r="G106" s="92"/>
      <c r="H106" s="287"/>
    </row>
    <row r="107" spans="1:8" x14ac:dyDescent="0.25">
      <c r="A107" s="71" t="s">
        <v>86</v>
      </c>
      <c r="B107" s="112">
        <v>1545600</v>
      </c>
      <c r="C107" s="9"/>
      <c r="D107" s="295" t="s">
        <v>263</v>
      </c>
      <c r="E107" s="296">
        <f>SUM(E102:E106)</f>
        <v>4360830.5999999996</v>
      </c>
      <c r="F107" s="296">
        <f t="shared" ref="F107:G107" si="1">SUM(F102:F106)</f>
        <v>4399737</v>
      </c>
      <c r="G107" s="296">
        <f t="shared" si="1"/>
        <v>38906.399999999907</v>
      </c>
      <c r="H107" s="287"/>
    </row>
    <row r="108" spans="1:8" x14ac:dyDescent="0.25">
      <c r="A108" s="39" t="s">
        <v>87</v>
      </c>
      <c r="B108" s="111">
        <v>452088</v>
      </c>
      <c r="C108" s="9"/>
      <c r="D108" s="57"/>
      <c r="E108" s="92"/>
      <c r="F108" s="92"/>
      <c r="G108" s="92"/>
      <c r="H108" s="287"/>
    </row>
    <row r="109" spans="1:8" x14ac:dyDescent="0.25">
      <c r="A109" s="39" t="s">
        <v>88</v>
      </c>
      <c r="B109" s="111">
        <v>266616</v>
      </c>
      <c r="C109" s="13"/>
      <c r="D109" s="297" t="s">
        <v>164</v>
      </c>
      <c r="E109" s="298">
        <f>B107</f>
        <v>1545600</v>
      </c>
      <c r="F109" s="299">
        <v>1545600</v>
      </c>
      <c r="G109" s="286">
        <f>F109-E109</f>
        <v>0</v>
      </c>
      <c r="H109" s="287"/>
    </row>
    <row r="110" spans="1:8" x14ac:dyDescent="0.25">
      <c r="A110" s="39" t="s">
        <v>89</v>
      </c>
      <c r="B110" s="61">
        <v>0</v>
      </c>
      <c r="C110" s="9"/>
      <c r="D110" s="300" t="s">
        <v>152</v>
      </c>
      <c r="E110" s="301">
        <f>SUM(B108:B109)</f>
        <v>718704</v>
      </c>
      <c r="F110" s="299">
        <v>721004</v>
      </c>
      <c r="G110" s="286">
        <f t="shared" ref="G110:G136" si="2">F110-E110</f>
        <v>2300</v>
      </c>
      <c r="H110" s="287" t="s">
        <v>267</v>
      </c>
    </row>
    <row r="111" spans="1:8" x14ac:dyDescent="0.25">
      <c r="A111" s="39" t="s">
        <v>90</v>
      </c>
      <c r="B111" s="271">
        <v>5000</v>
      </c>
      <c r="C111" s="9"/>
      <c r="D111" s="292" t="s">
        <v>107</v>
      </c>
      <c r="E111" s="302">
        <f>B129</f>
        <v>10640</v>
      </c>
      <c r="F111" s="299">
        <v>8640</v>
      </c>
      <c r="G111" s="286">
        <f t="shared" si="2"/>
        <v>-2000</v>
      </c>
      <c r="H111" s="287" t="s">
        <v>268</v>
      </c>
    </row>
    <row r="112" spans="1:8" x14ac:dyDescent="0.25">
      <c r="A112" s="39" t="s">
        <v>91</v>
      </c>
      <c r="B112" s="271">
        <v>46200</v>
      </c>
      <c r="C112" s="9"/>
      <c r="D112" s="303" t="s">
        <v>165</v>
      </c>
      <c r="E112" s="276">
        <f>B111+B112+B115+SUM(B117:B123)+SUM(B125:B127)+SUM(B132:B134)+SUM(B138:B142)+B144+B146+B136</f>
        <v>326449.59999999998</v>
      </c>
      <c r="F112" s="280">
        <v>386032</v>
      </c>
      <c r="G112" s="283">
        <f t="shared" si="2"/>
        <v>59582.400000000023</v>
      </c>
      <c r="H112" s="304" t="s">
        <v>321</v>
      </c>
    </row>
    <row r="113" spans="1:8" x14ac:dyDescent="0.25">
      <c r="A113" s="73" t="s">
        <v>92</v>
      </c>
      <c r="B113" s="19">
        <v>2315504</v>
      </c>
      <c r="C113" s="9"/>
      <c r="D113" s="333" t="str">
        <f>A111</f>
        <v>Tuition Reimbursements</v>
      </c>
      <c r="E113" s="334">
        <f>B111</f>
        <v>5000</v>
      </c>
      <c r="F113" s="278">
        <v>3600</v>
      </c>
      <c r="G113" s="281">
        <f t="shared" si="2"/>
        <v>-1400</v>
      </c>
      <c r="H113" s="305" t="s">
        <v>276</v>
      </c>
    </row>
    <row r="114" spans="1:8" x14ac:dyDescent="0.25">
      <c r="A114" s="74" t="s">
        <v>93</v>
      </c>
      <c r="B114" s="67" t="s">
        <v>1</v>
      </c>
      <c r="C114" s="9"/>
      <c r="D114" s="333" t="str">
        <f>A112</f>
        <v>Subst. Teachers (10 days/Teacher)</v>
      </c>
      <c r="E114" s="334">
        <f>B112</f>
        <v>46200</v>
      </c>
      <c r="F114" s="278">
        <f>59400</f>
        <v>59400</v>
      </c>
      <c r="G114" s="281">
        <f t="shared" si="2"/>
        <v>13200</v>
      </c>
      <c r="H114" s="305" t="s">
        <v>312</v>
      </c>
    </row>
    <row r="115" spans="1:8" x14ac:dyDescent="0.25">
      <c r="A115" s="75" t="s">
        <v>94</v>
      </c>
      <c r="B115" s="271">
        <v>14250</v>
      </c>
      <c r="C115" s="9"/>
      <c r="D115" s="333" t="str">
        <f>A115</f>
        <v xml:space="preserve">Consumables </v>
      </c>
      <c r="E115" s="334">
        <f>B115</f>
        <v>14250</v>
      </c>
      <c r="F115" s="278">
        <v>57000</v>
      </c>
      <c r="G115" s="281">
        <f t="shared" si="2"/>
        <v>42750</v>
      </c>
      <c r="H115" s="305" t="s">
        <v>320</v>
      </c>
    </row>
    <row r="116" spans="1:8" x14ac:dyDescent="0.25">
      <c r="A116" s="39" t="s">
        <v>95</v>
      </c>
      <c r="B116" s="110">
        <v>110000</v>
      </c>
      <c r="C116" s="9"/>
      <c r="D116" s="333" t="str">
        <f>A117</f>
        <v>Office Supplies</v>
      </c>
      <c r="E116" s="334">
        <f>B117</f>
        <v>7410</v>
      </c>
      <c r="F116" s="278">
        <v>7410</v>
      </c>
      <c r="G116" s="281">
        <f t="shared" si="2"/>
        <v>0</v>
      </c>
      <c r="H116" s="305" t="s">
        <v>277</v>
      </c>
    </row>
    <row r="117" spans="1:8" x14ac:dyDescent="0.25">
      <c r="A117" s="36" t="s">
        <v>96</v>
      </c>
      <c r="B117" s="271">
        <v>7410</v>
      </c>
      <c r="C117" s="9"/>
      <c r="D117" s="333" t="str">
        <f t="shared" ref="D117:D122" si="3">A118</f>
        <v>Classroom Supplies</v>
      </c>
      <c r="E117" s="334">
        <f t="shared" ref="E117:E122" si="4">B118</f>
        <v>15390</v>
      </c>
      <c r="F117" s="278">
        <v>15390</v>
      </c>
      <c r="G117" s="281">
        <f t="shared" si="2"/>
        <v>0</v>
      </c>
      <c r="H117" s="305" t="s">
        <v>313</v>
      </c>
    </row>
    <row r="118" spans="1:8" x14ac:dyDescent="0.25">
      <c r="A118" s="39" t="s">
        <v>97</v>
      </c>
      <c r="B118" s="271">
        <v>15390</v>
      </c>
      <c r="C118" s="9"/>
      <c r="D118" s="333" t="str">
        <f t="shared" si="3"/>
        <v>Copier Supplies</v>
      </c>
      <c r="E118" s="334">
        <f t="shared" si="4"/>
        <v>2280</v>
      </c>
      <c r="F118" s="278">
        <v>0</v>
      </c>
      <c r="G118" s="281">
        <f t="shared" si="2"/>
        <v>-2280</v>
      </c>
      <c r="H118" s="305" t="s">
        <v>314</v>
      </c>
    </row>
    <row r="119" spans="1:8" x14ac:dyDescent="0.25">
      <c r="A119" s="39" t="s">
        <v>98</v>
      </c>
      <c r="B119" s="271">
        <v>2280</v>
      </c>
      <c r="C119" s="9"/>
      <c r="D119" s="333" t="str">
        <f t="shared" si="3"/>
        <v>Nursing Supplies</v>
      </c>
      <c r="E119" s="334">
        <f t="shared" si="4"/>
        <v>1710</v>
      </c>
      <c r="F119" s="278">
        <v>1710</v>
      </c>
      <c r="G119" s="281">
        <f t="shared" si="2"/>
        <v>0</v>
      </c>
      <c r="H119" s="305" t="s">
        <v>271</v>
      </c>
    </row>
    <row r="120" spans="1:8" x14ac:dyDescent="0.25">
      <c r="A120" s="39" t="s">
        <v>99</v>
      </c>
      <c r="B120" s="271">
        <v>1710</v>
      </c>
      <c r="C120" s="9"/>
      <c r="D120" s="333" t="str">
        <f t="shared" si="3"/>
        <v>SPED Supplies</v>
      </c>
      <c r="E120" s="334">
        <f t="shared" si="4"/>
        <v>8207.9999999999982</v>
      </c>
      <c r="F120" s="278"/>
      <c r="G120" s="281">
        <f t="shared" si="2"/>
        <v>-8207.9999999999982</v>
      </c>
      <c r="H120" s="305" t="s">
        <v>270</v>
      </c>
    </row>
    <row r="121" spans="1:8" x14ac:dyDescent="0.25">
      <c r="A121" s="39" t="s">
        <v>100</v>
      </c>
      <c r="B121" s="271">
        <v>8207.9999999999982</v>
      </c>
      <c r="C121" s="9"/>
      <c r="D121" s="333" t="str">
        <f t="shared" si="3"/>
        <v>Athletics</v>
      </c>
      <c r="E121" s="334">
        <f t="shared" si="4"/>
        <v>1000</v>
      </c>
      <c r="F121" s="278">
        <v>8550</v>
      </c>
      <c r="G121" s="281">
        <f t="shared" si="2"/>
        <v>7550</v>
      </c>
      <c r="H121" s="305" t="s">
        <v>325</v>
      </c>
    </row>
    <row r="122" spans="1:8" x14ac:dyDescent="0.25">
      <c r="A122" s="39" t="s">
        <v>101</v>
      </c>
      <c r="B122" s="271">
        <v>1000</v>
      </c>
      <c r="C122" s="9"/>
      <c r="D122" s="333" t="str">
        <f t="shared" si="3"/>
        <v>Dues and Fees</v>
      </c>
      <c r="E122" s="334">
        <f t="shared" si="4"/>
        <v>5000</v>
      </c>
      <c r="F122" s="278">
        <v>5000</v>
      </c>
      <c r="G122" s="281">
        <f t="shared" si="2"/>
        <v>0</v>
      </c>
      <c r="H122" s="305" t="s">
        <v>272</v>
      </c>
    </row>
    <row r="123" spans="1:8" x14ac:dyDescent="0.25">
      <c r="A123" s="39" t="s">
        <v>102</v>
      </c>
      <c r="B123" s="271">
        <v>5000</v>
      </c>
      <c r="C123" s="9"/>
      <c r="D123" s="333" t="str">
        <f t="shared" ref="D123:E125" si="5">A125</f>
        <v>Travel / Prof. Dev. / Recruiting</v>
      </c>
      <c r="E123" s="334">
        <f t="shared" si="5"/>
        <v>2000</v>
      </c>
      <c r="F123" s="278">
        <v>1800</v>
      </c>
      <c r="G123" s="281">
        <f t="shared" si="2"/>
        <v>-200</v>
      </c>
      <c r="H123" s="305" t="s">
        <v>278</v>
      </c>
    </row>
    <row r="124" spans="1:8" x14ac:dyDescent="0.25">
      <c r="A124" s="39" t="s">
        <v>61</v>
      </c>
      <c r="B124" s="119">
        <v>243675</v>
      </c>
      <c r="C124" s="9"/>
      <c r="D124" s="333" t="str">
        <f t="shared" si="5"/>
        <v>Special Education Contracted Services</v>
      </c>
      <c r="E124" s="334">
        <f t="shared" si="5"/>
        <v>99750</v>
      </c>
      <c r="F124" s="278">
        <v>108072</v>
      </c>
      <c r="G124" s="281">
        <f t="shared" si="2"/>
        <v>8322</v>
      </c>
      <c r="H124" s="305" t="s">
        <v>322</v>
      </c>
    </row>
    <row r="125" spans="1:8" x14ac:dyDescent="0.25">
      <c r="A125" s="39" t="s">
        <v>103</v>
      </c>
      <c r="B125" s="271">
        <v>2000</v>
      </c>
      <c r="C125" s="9">
        <f>F112-SUM(F113:F136)</f>
        <v>0</v>
      </c>
      <c r="D125" s="333" t="str">
        <f t="shared" si="5"/>
        <v>Contracted Data Services</v>
      </c>
      <c r="E125" s="334">
        <f t="shared" si="5"/>
        <v>0</v>
      </c>
      <c r="F125" s="278">
        <v>0</v>
      </c>
      <c r="G125" s="281">
        <f t="shared" si="2"/>
        <v>0</v>
      </c>
      <c r="H125" s="305"/>
    </row>
    <row r="126" spans="1:8" x14ac:dyDescent="0.25">
      <c r="A126" s="39" t="s">
        <v>104</v>
      </c>
      <c r="B126" s="271">
        <v>99750</v>
      </c>
      <c r="C126" s="9"/>
      <c r="D126" s="333" t="str">
        <f>A132</f>
        <v>IT Services - Monthly</v>
      </c>
      <c r="E126" s="334">
        <f>B132</f>
        <v>23940</v>
      </c>
      <c r="F126" s="278">
        <v>23940</v>
      </c>
      <c r="G126" s="281">
        <f t="shared" si="2"/>
        <v>0</v>
      </c>
      <c r="H126" s="305" t="s">
        <v>323</v>
      </c>
    </row>
    <row r="127" spans="1:8" x14ac:dyDescent="0.25">
      <c r="A127" s="39" t="s">
        <v>105</v>
      </c>
      <c r="B127" s="271">
        <v>0</v>
      </c>
      <c r="C127" s="9"/>
      <c r="D127" s="333" t="str">
        <f>A133</f>
        <v>IT Set-up Fees</v>
      </c>
      <c r="E127" s="334">
        <f t="shared" ref="E127:E128" si="6">B133</f>
        <v>15000</v>
      </c>
      <c r="F127" s="278">
        <v>15000</v>
      </c>
      <c r="G127" s="281">
        <f t="shared" si="2"/>
        <v>0</v>
      </c>
      <c r="H127" s="305" t="s">
        <v>318</v>
      </c>
    </row>
    <row r="128" spans="1:8" x14ac:dyDescent="0.25">
      <c r="A128" s="39" t="s">
        <v>106</v>
      </c>
      <c r="B128" s="118">
        <v>256500</v>
      </c>
      <c r="C128" s="9"/>
      <c r="D128" s="333" t="str">
        <f>A134</f>
        <v>Website</v>
      </c>
      <c r="E128" s="334">
        <f t="shared" si="6"/>
        <v>4000</v>
      </c>
      <c r="F128" s="278">
        <v>0</v>
      </c>
      <c r="G128" s="281">
        <f t="shared" si="2"/>
        <v>-4000</v>
      </c>
      <c r="H128" s="305" t="s">
        <v>316</v>
      </c>
    </row>
    <row r="129" spans="1:8" x14ac:dyDescent="0.25">
      <c r="A129" s="39" t="s">
        <v>107</v>
      </c>
      <c r="B129" s="109">
        <v>10640</v>
      </c>
      <c r="C129" s="9"/>
      <c r="D129" s="333" t="str">
        <f>A136</f>
        <v>Infinite Campus</v>
      </c>
      <c r="E129" s="334">
        <f>B136</f>
        <v>4000</v>
      </c>
      <c r="F129" s="278">
        <v>0</v>
      </c>
      <c r="G129" s="281">
        <f t="shared" si="2"/>
        <v>-4000</v>
      </c>
      <c r="H129" s="305" t="s">
        <v>317</v>
      </c>
    </row>
    <row r="130" spans="1:8" x14ac:dyDescent="0.25">
      <c r="A130" s="39" t="s">
        <v>108</v>
      </c>
      <c r="B130" s="118">
        <v>0</v>
      </c>
      <c r="C130" s="9"/>
      <c r="D130" s="333" t="str">
        <f>A138</f>
        <v>Affiliation Fee - Inc. (1/2 of 1%)</v>
      </c>
      <c r="E130" s="334">
        <f>B138</f>
        <v>20770.8</v>
      </c>
      <c r="F130" s="278">
        <f>41285</f>
        <v>41285</v>
      </c>
      <c r="G130" s="281">
        <f t="shared" si="2"/>
        <v>20514.2</v>
      </c>
      <c r="H130" s="305" t="s">
        <v>269</v>
      </c>
    </row>
    <row r="131" spans="1:8" x14ac:dyDescent="0.25">
      <c r="A131" s="39" t="s">
        <v>109</v>
      </c>
      <c r="B131" s="118">
        <v>5000</v>
      </c>
      <c r="C131" s="9"/>
      <c r="D131" s="333" t="str">
        <f>A139</f>
        <v>Affiliation Fee - Professional Development (1/2 of 1%)</v>
      </c>
      <c r="E131" s="334">
        <f t="shared" ref="E131:E134" si="7">B139</f>
        <v>20770.8</v>
      </c>
      <c r="F131" s="278">
        <v>0</v>
      </c>
      <c r="G131" s="281">
        <f t="shared" si="2"/>
        <v>-20770.8</v>
      </c>
      <c r="H131" s="305" t="s">
        <v>275</v>
      </c>
    </row>
    <row r="132" spans="1:8" x14ac:dyDescent="0.25">
      <c r="A132" s="36" t="s">
        <v>110</v>
      </c>
      <c r="B132" s="271">
        <v>23940</v>
      </c>
      <c r="C132" s="9"/>
      <c r="D132" s="333" t="str">
        <f>A140</f>
        <v>Phone and Communications (with E-rate discount)</v>
      </c>
      <c r="E132" s="334">
        <f t="shared" si="7"/>
        <v>25000</v>
      </c>
      <c r="F132" s="278">
        <v>25000</v>
      </c>
      <c r="G132" s="281">
        <f t="shared" si="2"/>
        <v>0</v>
      </c>
      <c r="H132" s="305" t="s">
        <v>319</v>
      </c>
    </row>
    <row r="133" spans="1:8" x14ac:dyDescent="0.25">
      <c r="A133" s="39" t="s">
        <v>111</v>
      </c>
      <c r="B133" s="271">
        <v>15000</v>
      </c>
      <c r="C133" s="9"/>
      <c r="D133" s="333" t="str">
        <f>A141</f>
        <v>Postage</v>
      </c>
      <c r="E133" s="334">
        <f t="shared" si="7"/>
        <v>1250</v>
      </c>
      <c r="F133" s="278">
        <v>855</v>
      </c>
      <c r="G133" s="281">
        <f t="shared" si="2"/>
        <v>-395</v>
      </c>
      <c r="H133" s="305" t="s">
        <v>273</v>
      </c>
    </row>
    <row r="134" spans="1:8" x14ac:dyDescent="0.25">
      <c r="A134" s="39" t="s">
        <v>112</v>
      </c>
      <c r="B134" s="271">
        <v>4000</v>
      </c>
      <c r="C134" s="9"/>
      <c r="D134" s="333" t="str">
        <f>A142</f>
        <v>Background and Fingerprinting</v>
      </c>
      <c r="E134" s="334">
        <f t="shared" si="7"/>
        <v>2520</v>
      </c>
      <c r="F134" s="278">
        <v>2520</v>
      </c>
      <c r="G134" s="281">
        <f t="shared" si="2"/>
        <v>0</v>
      </c>
      <c r="H134" s="305" t="s">
        <v>274</v>
      </c>
    </row>
    <row r="135" spans="1:8" x14ac:dyDescent="0.25">
      <c r="A135" s="39" t="s">
        <v>113</v>
      </c>
      <c r="B135" s="110">
        <v>50000</v>
      </c>
      <c r="C135" s="9"/>
      <c r="D135" s="333" t="str">
        <f>A144</f>
        <v>Marketing/Advertising</v>
      </c>
      <c r="E135" s="334">
        <f>B144</f>
        <v>0</v>
      </c>
      <c r="F135" s="278">
        <v>0</v>
      </c>
      <c r="G135" s="281">
        <f t="shared" si="2"/>
        <v>0</v>
      </c>
      <c r="H135" s="305"/>
    </row>
    <row r="136" spans="1:8" x14ac:dyDescent="0.25">
      <c r="A136" s="39" t="s">
        <v>114</v>
      </c>
      <c r="B136" s="271">
        <v>4000</v>
      </c>
      <c r="C136" s="9"/>
      <c r="D136" s="335" t="str">
        <f>A146</f>
        <v>Other Purchases</v>
      </c>
      <c r="E136" s="336">
        <f>B146</f>
        <v>1000</v>
      </c>
      <c r="F136" s="279">
        <v>9500</v>
      </c>
      <c r="G136" s="282">
        <f t="shared" si="2"/>
        <v>8500</v>
      </c>
      <c r="H136" s="306" t="s">
        <v>324</v>
      </c>
    </row>
    <row r="137" spans="1:8" ht="30" x14ac:dyDescent="0.25">
      <c r="A137" s="39" t="s">
        <v>115</v>
      </c>
      <c r="B137" s="272">
        <v>51927</v>
      </c>
      <c r="C137" s="9"/>
      <c r="D137" s="307" t="s">
        <v>166</v>
      </c>
      <c r="E137" s="308">
        <f>B130+B131+B128+B145</f>
        <v>274000</v>
      </c>
      <c r="F137" s="299">
        <v>294000</v>
      </c>
      <c r="G137" s="286">
        <f t="shared" ref="G137:G145" si="8">F137-E137</f>
        <v>20000</v>
      </c>
      <c r="H137" s="309" t="s">
        <v>265</v>
      </c>
    </row>
    <row r="138" spans="1:8" x14ac:dyDescent="0.25">
      <c r="A138" s="39" t="s">
        <v>116</v>
      </c>
      <c r="B138" s="271">
        <v>20770.8</v>
      </c>
      <c r="C138" s="9"/>
      <c r="D138" s="284" t="s">
        <v>167</v>
      </c>
      <c r="E138" s="310">
        <f>B124</f>
        <v>243675</v>
      </c>
      <c r="F138" s="299">
        <v>256500</v>
      </c>
      <c r="G138" s="286">
        <f t="shared" si="8"/>
        <v>12825</v>
      </c>
      <c r="H138" s="287" t="s">
        <v>326</v>
      </c>
    </row>
    <row r="139" spans="1:8" x14ac:dyDescent="0.25">
      <c r="A139" s="39" t="s">
        <v>117</v>
      </c>
      <c r="B139" s="271">
        <v>20770.8</v>
      </c>
      <c r="C139" s="9"/>
      <c r="D139" s="311" t="s">
        <v>168</v>
      </c>
      <c r="E139" s="312">
        <f>B161</f>
        <v>820000</v>
      </c>
      <c r="F139" s="299">
        <v>820191</v>
      </c>
      <c r="G139" s="286">
        <f t="shared" si="8"/>
        <v>191</v>
      </c>
      <c r="H139" s="287" t="s">
        <v>267</v>
      </c>
    </row>
    <row r="140" spans="1:8" x14ac:dyDescent="0.25">
      <c r="A140" s="39" t="s">
        <v>118</v>
      </c>
      <c r="B140" s="271">
        <v>25000</v>
      </c>
      <c r="C140" s="9"/>
      <c r="D140" s="313" t="s">
        <v>169</v>
      </c>
      <c r="E140" s="314">
        <f>B151+B152</f>
        <v>77190</v>
      </c>
      <c r="F140" s="299">
        <v>83992</v>
      </c>
      <c r="G140" s="286">
        <f t="shared" si="8"/>
        <v>6802</v>
      </c>
      <c r="H140" s="287" t="s">
        <v>266</v>
      </c>
    </row>
    <row r="141" spans="1:8" x14ac:dyDescent="0.25">
      <c r="A141" s="39" t="s">
        <v>119</v>
      </c>
      <c r="B141" s="271">
        <v>1250</v>
      </c>
      <c r="C141" s="9"/>
      <c r="D141" s="315" t="s">
        <v>170</v>
      </c>
      <c r="E141" s="316">
        <f>B149</f>
        <v>91000</v>
      </c>
      <c r="F141" s="299">
        <v>111353</v>
      </c>
      <c r="G141" s="286">
        <f t="shared" si="8"/>
        <v>20353</v>
      </c>
      <c r="H141" s="287" t="s">
        <v>266</v>
      </c>
    </row>
    <row r="142" spans="1:8" x14ac:dyDescent="0.25">
      <c r="A142" s="39" t="s">
        <v>120</v>
      </c>
      <c r="B142" s="271">
        <v>2520</v>
      </c>
      <c r="C142" s="9"/>
      <c r="D142" s="317" t="s">
        <v>171</v>
      </c>
      <c r="E142" s="318">
        <f>B153+B154+B155</f>
        <v>42000</v>
      </c>
      <c r="F142" s="299">
        <v>31815</v>
      </c>
      <c r="G142" s="286">
        <f t="shared" si="8"/>
        <v>-10185</v>
      </c>
      <c r="H142" s="287" t="s">
        <v>266</v>
      </c>
    </row>
    <row r="143" spans="1:8" x14ac:dyDescent="0.25">
      <c r="A143" s="39" t="s">
        <v>121</v>
      </c>
      <c r="B143" s="113">
        <v>40000</v>
      </c>
      <c r="C143" s="9"/>
      <c r="D143" s="319" t="s">
        <v>172</v>
      </c>
      <c r="E143" s="320">
        <f>B150</f>
        <v>8000</v>
      </c>
      <c r="F143" s="299">
        <v>8000</v>
      </c>
      <c r="G143" s="286">
        <f t="shared" si="8"/>
        <v>0</v>
      </c>
      <c r="H143" s="287"/>
    </row>
    <row r="144" spans="1:8" x14ac:dyDescent="0.25">
      <c r="A144" s="39" t="s">
        <v>122</v>
      </c>
      <c r="B144" s="271">
        <v>0</v>
      </c>
      <c r="C144" s="9"/>
      <c r="D144" s="321" t="s">
        <v>173</v>
      </c>
      <c r="E144" s="322">
        <f>B116+B135</f>
        <v>160000</v>
      </c>
      <c r="F144" s="299">
        <v>162280</v>
      </c>
      <c r="G144" s="286">
        <f t="shared" si="8"/>
        <v>2280</v>
      </c>
      <c r="H144" s="287" t="s">
        <v>315</v>
      </c>
    </row>
    <row r="145" spans="1:8" x14ac:dyDescent="0.25">
      <c r="A145" s="39" t="s">
        <v>123</v>
      </c>
      <c r="B145" s="118">
        <v>12500</v>
      </c>
      <c r="C145" s="9"/>
      <c r="D145" s="323" t="s">
        <v>174</v>
      </c>
      <c r="E145" s="324">
        <f>B143</f>
        <v>40000</v>
      </c>
      <c r="F145" s="299">
        <v>40000</v>
      </c>
      <c r="G145" s="286">
        <f t="shared" si="8"/>
        <v>0</v>
      </c>
      <c r="H145" s="287"/>
    </row>
    <row r="146" spans="1:8" x14ac:dyDescent="0.25">
      <c r="A146" s="39" t="s">
        <v>124</v>
      </c>
      <c r="B146" s="271">
        <v>1000</v>
      </c>
      <c r="C146" s="9"/>
      <c r="D146" s="57"/>
      <c r="E146" s="299"/>
      <c r="F146" s="299"/>
      <c r="G146" s="92"/>
      <c r="H146" s="287"/>
    </row>
    <row r="147" spans="1:8" x14ac:dyDescent="0.25">
      <c r="A147" s="73" t="s">
        <v>125</v>
      </c>
      <c r="B147" s="19">
        <v>1055491.6000000001</v>
      </c>
      <c r="C147" s="9"/>
      <c r="D147" s="295" t="s">
        <v>134</v>
      </c>
      <c r="E147" s="296">
        <f>SUM(E109:E112)+SUM(E137:E145)</f>
        <v>4357258.5999999996</v>
      </c>
      <c r="F147" s="296">
        <f t="shared" ref="F147" si="9">SUM(F109:F112)+SUM(F137:F145)</f>
        <v>4469407</v>
      </c>
      <c r="G147" s="296">
        <f>SUM(G109:G112)+SUM(G137:G145)</f>
        <v>112148.40000000002</v>
      </c>
      <c r="H147" s="287"/>
    </row>
    <row r="148" spans="1:8" x14ac:dyDescent="0.25">
      <c r="A148" s="76" t="s">
        <v>126</v>
      </c>
      <c r="B148" s="77" t="s">
        <v>1</v>
      </c>
      <c r="C148" s="9"/>
      <c r="D148" s="325"/>
      <c r="E148" s="92"/>
      <c r="F148" s="92"/>
      <c r="G148" s="92"/>
      <c r="H148" s="287"/>
    </row>
    <row r="149" spans="1:8" x14ac:dyDescent="0.25">
      <c r="A149" s="39" t="s">
        <v>127</v>
      </c>
      <c r="B149" s="117">
        <v>91000</v>
      </c>
      <c r="C149" s="9"/>
      <c r="D149" s="295" t="s">
        <v>264</v>
      </c>
      <c r="E149" s="326">
        <f>E107-E147</f>
        <v>3572</v>
      </c>
      <c r="F149" s="326">
        <f>F107-F147</f>
        <v>-69670</v>
      </c>
      <c r="G149" s="326">
        <f>G107-G147</f>
        <v>-73242.000000000116</v>
      </c>
      <c r="H149" s="287"/>
    </row>
    <row r="150" spans="1:8" x14ac:dyDescent="0.25">
      <c r="A150" s="39" t="s">
        <v>128</v>
      </c>
      <c r="B150" s="116">
        <v>8000</v>
      </c>
      <c r="C150" s="9"/>
      <c r="D150" s="57"/>
      <c r="E150" s="92"/>
      <c r="F150" s="92"/>
      <c r="G150" s="92"/>
      <c r="H150" s="287"/>
    </row>
    <row r="151" spans="1:8" ht="15.75" thickBot="1" x14ac:dyDescent="0.3">
      <c r="A151" s="39" t="s">
        <v>129</v>
      </c>
      <c r="B151" s="114">
        <v>68640</v>
      </c>
      <c r="C151" s="9"/>
      <c r="D151" s="85"/>
      <c r="E151" s="327">
        <f>E149-B166</f>
        <v>4.6566128730773926E-10</v>
      </c>
      <c r="F151" s="327">
        <f>F149-C166</f>
        <v>-69670</v>
      </c>
      <c r="G151" s="327">
        <f>G149-D166</f>
        <v>-73242.000000000116</v>
      </c>
      <c r="H151" s="328"/>
    </row>
    <row r="152" spans="1:8" x14ac:dyDescent="0.25">
      <c r="A152" s="39" t="s">
        <v>130</v>
      </c>
      <c r="B152" s="114">
        <v>8550</v>
      </c>
      <c r="C152" s="9"/>
    </row>
    <row r="153" spans="1:8" x14ac:dyDescent="0.25">
      <c r="A153" s="39" t="s">
        <v>131</v>
      </c>
      <c r="B153" s="115">
        <v>20000</v>
      </c>
      <c r="C153" s="9"/>
    </row>
    <row r="154" spans="1:8" x14ac:dyDescent="0.25">
      <c r="A154" s="39" t="s">
        <v>132</v>
      </c>
      <c r="B154" s="115">
        <v>12000</v>
      </c>
      <c r="C154" s="9"/>
    </row>
    <row r="155" spans="1:8" x14ac:dyDescent="0.25">
      <c r="A155" s="39" t="s">
        <v>133</v>
      </c>
      <c r="B155" s="115">
        <v>10000</v>
      </c>
      <c r="C155" s="9"/>
    </row>
    <row r="156" spans="1:8" x14ac:dyDescent="0.25">
      <c r="A156" s="73" t="s">
        <v>125</v>
      </c>
      <c r="B156" s="19">
        <v>218190</v>
      </c>
      <c r="C156" s="9"/>
    </row>
    <row r="157" spans="1:8" ht="15.75" thickBot="1" x14ac:dyDescent="0.3">
      <c r="A157" s="78"/>
      <c r="B157" s="79"/>
      <c r="C157" s="9"/>
    </row>
    <row r="158" spans="1:8" ht="15.75" thickBot="1" x14ac:dyDescent="0.3">
      <c r="A158" s="80" t="s">
        <v>134</v>
      </c>
      <c r="B158" s="81">
        <v>3589185.6</v>
      </c>
      <c r="C158" s="9"/>
    </row>
    <row r="159" spans="1:8" ht="15.75" thickBot="1" x14ac:dyDescent="0.3">
      <c r="A159" s="82"/>
      <c r="B159" s="79"/>
      <c r="C159" s="9"/>
    </row>
    <row r="160" spans="1:8" x14ac:dyDescent="0.25">
      <c r="A160" s="83"/>
      <c r="B160" s="58"/>
      <c r="C160" s="9"/>
    </row>
    <row r="161" spans="1:5" x14ac:dyDescent="0.25">
      <c r="A161" s="84" t="s">
        <v>135</v>
      </c>
      <c r="B161" s="270">
        <v>820000</v>
      </c>
      <c r="C161" s="9"/>
      <c r="E161" s="62"/>
    </row>
    <row r="162" spans="1:5" x14ac:dyDescent="0.25">
      <c r="A162" s="84" t="s">
        <v>136</v>
      </c>
      <c r="B162" s="61">
        <v>0</v>
      </c>
      <c r="C162" s="9"/>
    </row>
    <row r="163" spans="1:5" x14ac:dyDescent="0.25">
      <c r="A163" s="84" t="s">
        <v>137</v>
      </c>
      <c r="B163" s="61"/>
      <c r="C163" s="9"/>
    </row>
    <row r="164" spans="1:5" ht="15.75" thickBot="1" x14ac:dyDescent="0.3">
      <c r="A164" s="85"/>
      <c r="B164" s="79"/>
      <c r="C164" s="9"/>
    </row>
    <row r="165" spans="1:5" x14ac:dyDescent="0.25">
      <c r="A165" s="83"/>
      <c r="B165" s="58"/>
      <c r="C165" s="9"/>
    </row>
    <row r="166" spans="1:5" x14ac:dyDescent="0.25">
      <c r="A166" s="86" t="s">
        <v>138</v>
      </c>
      <c r="B166" s="8">
        <v>3571.9999999995343</v>
      </c>
      <c r="C166" s="9"/>
    </row>
    <row r="167" spans="1:5" ht="15.75" thickBot="1" x14ac:dyDescent="0.3">
      <c r="A167" s="85"/>
      <c r="B167" s="79"/>
      <c r="C167" s="9"/>
    </row>
    <row r="168" spans="1:5" x14ac:dyDescent="0.25">
      <c r="B168" s="87">
        <v>8.0947115699251976E-4</v>
      </c>
      <c r="C168" s="9"/>
    </row>
    <row r="169" spans="1:5" x14ac:dyDescent="0.25">
      <c r="A169" s="88" t="str">
        <f t="shared" ref="A169" si="10">A1</f>
        <v>CIVICA NV</v>
      </c>
      <c r="B169" s="88" t="s">
        <v>1</v>
      </c>
      <c r="C169" s="9"/>
    </row>
    <row r="172" spans="1:5" x14ac:dyDescent="0.25">
      <c r="A172" s="89" t="s">
        <v>139</v>
      </c>
      <c r="B172" s="90">
        <v>823571.99999999953</v>
      </c>
      <c r="C172" s="91"/>
    </row>
    <row r="174" spans="1:5" x14ac:dyDescent="0.25">
      <c r="A174" s="92" t="s">
        <v>140</v>
      </c>
      <c r="B174" s="93">
        <v>0</v>
      </c>
    </row>
    <row r="175" spans="1:5" x14ac:dyDescent="0.25">
      <c r="A175" s="92" t="s">
        <v>141</v>
      </c>
      <c r="B175" s="93">
        <v>0</v>
      </c>
    </row>
    <row r="176" spans="1:5" x14ac:dyDescent="0.25">
      <c r="A176" s="94" t="s">
        <v>142</v>
      </c>
      <c r="B176" s="93">
        <v>820000</v>
      </c>
    </row>
    <row r="177" spans="1:4" x14ac:dyDescent="0.25">
      <c r="A177" s="95" t="s">
        <v>143</v>
      </c>
      <c r="B177" s="96">
        <v>820000</v>
      </c>
    </row>
    <row r="179" spans="1:4" x14ac:dyDescent="0.25">
      <c r="A179" s="89" t="s">
        <v>144</v>
      </c>
      <c r="B179" s="97">
        <v>1.0043560975609751</v>
      </c>
    </row>
    <row r="181" spans="1:4" x14ac:dyDescent="0.25">
      <c r="A181" s="98" t="s">
        <v>145</v>
      </c>
      <c r="B181" s="98"/>
    </row>
    <row r="182" spans="1:4" x14ac:dyDescent="0.25">
      <c r="A182" s="92" t="s">
        <v>146</v>
      </c>
      <c r="B182" s="99">
        <v>0</v>
      </c>
    </row>
    <row r="183" spans="1:4" x14ac:dyDescent="0.25">
      <c r="A183" s="101" t="s">
        <v>147</v>
      </c>
      <c r="B183" s="100">
        <v>0</v>
      </c>
    </row>
    <row r="184" spans="1:4" x14ac:dyDescent="0.25">
      <c r="A184" s="101" t="s">
        <v>148</v>
      </c>
      <c r="B184" s="100">
        <v>3571.9999999995343</v>
      </c>
    </row>
    <row r="185" spans="1:4" x14ac:dyDescent="0.25">
      <c r="A185" s="102" t="s">
        <v>149</v>
      </c>
      <c r="B185" s="103">
        <v>3571.9999999995343</v>
      </c>
    </row>
    <row r="186" spans="1:4" x14ac:dyDescent="0.25">
      <c r="A186" s="89" t="s">
        <v>150</v>
      </c>
      <c r="B186" s="97">
        <v>0.29569632995259493</v>
      </c>
    </row>
    <row r="189" spans="1:4" x14ac:dyDescent="0.25">
      <c r="A189" s="104" t="s">
        <v>151</v>
      </c>
      <c r="B189" s="105">
        <v>0.35054092529014885</v>
      </c>
      <c r="D189" s="106">
        <f t="shared" ref="D189:D202" si="11">AVERAGE(B189:B189)</f>
        <v>0.35054092529014885</v>
      </c>
    </row>
    <row r="190" spans="1:4" x14ac:dyDescent="0.25">
      <c r="A190" s="104" t="s">
        <v>152</v>
      </c>
      <c r="B190" s="105">
        <v>0.1630015302599192</v>
      </c>
      <c r="D190" s="106">
        <f t="shared" si="11"/>
        <v>0.1630015302599192</v>
      </c>
    </row>
    <row r="191" spans="1:4" x14ac:dyDescent="0.25">
      <c r="A191" s="104" t="s">
        <v>107</v>
      </c>
      <c r="B191" s="105">
        <v>2.413144050910445E-3</v>
      </c>
      <c r="D191" s="106">
        <f t="shared" si="11"/>
        <v>2.413144050910445E-3</v>
      </c>
    </row>
    <row r="192" spans="1:4" x14ac:dyDescent="0.25">
      <c r="A192" s="104" t="s">
        <v>153</v>
      </c>
      <c r="B192" s="105">
        <v>6.7595612214645717E-2</v>
      </c>
      <c r="D192" s="106">
        <f t="shared" si="11"/>
        <v>6.7595612214645717E-2</v>
      </c>
    </row>
    <row r="193" spans="1:4" x14ac:dyDescent="0.25">
      <c r="A193" s="104" t="s">
        <v>154</v>
      </c>
      <c r="B193" s="105">
        <v>3.3101350961501824E-2</v>
      </c>
      <c r="D193" s="106">
        <f t="shared" si="11"/>
        <v>3.3101350961501824E-2</v>
      </c>
    </row>
    <row r="194" spans="1:4" x14ac:dyDescent="0.25">
      <c r="A194" s="104" t="s">
        <v>155</v>
      </c>
      <c r="B194" s="105">
        <v>3.628788046481872E-2</v>
      </c>
      <c r="D194" s="106">
        <f t="shared" si="11"/>
        <v>3.628788046481872E-2</v>
      </c>
    </row>
    <row r="195" spans="1:4" x14ac:dyDescent="0.25">
      <c r="A195" s="104" t="s">
        <v>156</v>
      </c>
      <c r="B195" s="105">
        <v>1.1169409607071202E-2</v>
      </c>
      <c r="D195" s="106">
        <f t="shared" si="11"/>
        <v>1.1169409607071202E-2</v>
      </c>
    </row>
    <row r="196" spans="1:4" x14ac:dyDescent="0.25">
      <c r="A196" s="104" t="s">
        <v>157</v>
      </c>
      <c r="B196" s="105">
        <v>0.24453268648976811</v>
      </c>
      <c r="D196" s="106">
        <f t="shared" si="11"/>
        <v>0.24453268648976811</v>
      </c>
    </row>
    <row r="197" spans="1:4" x14ac:dyDescent="0.25">
      <c r="A197" s="104" t="s">
        <v>68</v>
      </c>
      <c r="B197" s="105">
        <v>5.5265307951654387E-2</v>
      </c>
      <c r="C197" s="105"/>
      <c r="D197" s="106">
        <f t="shared" si="11"/>
        <v>5.5265307951654387E-2</v>
      </c>
    </row>
    <row r="198" spans="1:4" x14ac:dyDescent="0.25">
      <c r="A198" s="104" t="s">
        <v>101</v>
      </c>
      <c r="B198" s="105">
        <v>2.2679925290511701E-4</v>
      </c>
      <c r="D198" s="106">
        <f t="shared" si="11"/>
        <v>2.2679925290511701E-4</v>
      </c>
    </row>
    <row r="199" spans="1:4" x14ac:dyDescent="0.25">
      <c r="A199" s="104" t="s">
        <v>158</v>
      </c>
      <c r="B199" s="105">
        <v>4.5359850581023402E-4</v>
      </c>
      <c r="D199" s="106">
        <f t="shared" si="11"/>
        <v>4.5359850581023402E-4</v>
      </c>
    </row>
    <row r="200" spans="1:4" x14ac:dyDescent="0.25">
      <c r="A200" s="104" t="s">
        <v>159</v>
      </c>
      <c r="B200" s="105">
        <v>1.133996264525585E-3</v>
      </c>
      <c r="D200" s="106">
        <f t="shared" si="11"/>
        <v>1.133996264525585E-3</v>
      </c>
    </row>
    <row r="201" spans="1:4" x14ac:dyDescent="0.25">
      <c r="A201" s="104" t="s">
        <v>160</v>
      </c>
      <c r="B201" s="105">
        <v>1.6315938253994116E-2</v>
      </c>
      <c r="D201" s="106">
        <f t="shared" si="11"/>
        <v>1.6315938253994116E-2</v>
      </c>
    </row>
    <row r="202" spans="1:4" x14ac:dyDescent="0.25">
      <c r="A202" s="104" t="s">
        <v>161</v>
      </c>
      <c r="B202" s="105">
        <v>1.7961820432326553E-2</v>
      </c>
      <c r="C202" s="105"/>
      <c r="D202" s="106">
        <f t="shared" si="11"/>
        <v>1.7961820432326553E-2</v>
      </c>
    </row>
    <row r="203" spans="1:4" x14ac:dyDescent="0.25">
      <c r="A203"/>
      <c r="B203"/>
    </row>
    <row r="204" spans="1:4" x14ac:dyDescent="0.25">
      <c r="A204"/>
      <c r="B204" s="107">
        <v>1.0000000000000002</v>
      </c>
      <c r="D204" s="107">
        <f t="shared" ref="D204" si="12">SUM(D189:D203)</f>
        <v>1.0000000000000002</v>
      </c>
    </row>
  </sheetData>
  <pageMargins left="0.7" right="0.7" top="0.75" bottom="0.75" header="0.3" footer="0.3"/>
  <pageSetup scale="58" orientation="landscape" r:id="rId1"/>
  <rowBreaks count="2" manualBreakCount="2">
    <brk id="58" max="7" man="1"/>
    <brk id="113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03"/>
  <sheetViews>
    <sheetView topLeftCell="D1" zoomScale="70" zoomScaleNormal="70" workbookViewId="0">
      <selection activeCell="S20" sqref="S20"/>
    </sheetView>
  </sheetViews>
  <sheetFormatPr defaultRowHeight="15" x14ac:dyDescent="0.25"/>
  <cols>
    <col min="1" max="1" width="55.42578125" style="3" hidden="1" customWidth="1"/>
    <col min="2" max="2" width="18.7109375" style="101" hidden="1" customWidth="1"/>
    <col min="3" max="3" width="18.7109375" style="343" hidden="1" customWidth="1"/>
    <col min="4" max="4" width="38.7109375" customWidth="1"/>
    <col min="5" max="20" width="15.7109375" customWidth="1"/>
  </cols>
  <sheetData>
    <row r="1" spans="1:17" ht="15.75" thickBot="1" x14ac:dyDescent="0.3">
      <c r="A1" s="1" t="s">
        <v>0</v>
      </c>
      <c r="B1" s="2" t="s">
        <v>1</v>
      </c>
      <c r="C1" s="347"/>
      <c r="D1" s="273" t="s">
        <v>298</v>
      </c>
    </row>
    <row r="2" spans="1:17" x14ac:dyDescent="0.25">
      <c r="A2" s="5" t="s">
        <v>2</v>
      </c>
      <c r="B2" s="6">
        <f>(6138+1150)</f>
        <v>7288</v>
      </c>
      <c r="C2" s="338"/>
      <c r="D2" s="273" t="s">
        <v>279</v>
      </c>
    </row>
    <row r="3" spans="1:17" x14ac:dyDescent="0.25">
      <c r="A3" s="7" t="s">
        <v>3</v>
      </c>
      <c r="B3" s="8">
        <f>SUM(B4:B15)</f>
        <v>570</v>
      </c>
      <c r="C3" s="348"/>
    </row>
    <row r="4" spans="1:17" ht="30" x14ac:dyDescent="0.25">
      <c r="A4" s="11" t="s">
        <v>4</v>
      </c>
      <c r="B4" s="12">
        <v>100</v>
      </c>
      <c r="C4" s="348"/>
      <c r="E4" s="337" t="s">
        <v>285</v>
      </c>
      <c r="F4" s="337" t="s">
        <v>286</v>
      </c>
      <c r="G4" s="337" t="s">
        <v>287</v>
      </c>
      <c r="H4" s="337" t="s">
        <v>288</v>
      </c>
      <c r="I4" s="337" t="s">
        <v>289</v>
      </c>
      <c r="J4" s="337" t="s">
        <v>290</v>
      </c>
      <c r="K4" s="337" t="s">
        <v>291</v>
      </c>
      <c r="L4" s="337" t="s">
        <v>292</v>
      </c>
      <c r="M4" s="337" t="s">
        <v>293</v>
      </c>
      <c r="N4" s="337" t="s">
        <v>294</v>
      </c>
      <c r="O4" s="337" t="s">
        <v>295</v>
      </c>
      <c r="P4" s="337" t="s">
        <v>296</v>
      </c>
      <c r="Q4" s="337" t="s">
        <v>297</v>
      </c>
    </row>
    <row r="5" spans="1:17" x14ac:dyDescent="0.25">
      <c r="A5" s="16" t="s">
        <v>5</v>
      </c>
      <c r="B5" s="12">
        <v>100</v>
      </c>
      <c r="C5" s="348"/>
      <c r="D5" s="273" t="s">
        <v>280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x14ac:dyDescent="0.25">
      <c r="A6" s="16" t="s">
        <v>6</v>
      </c>
      <c r="B6" s="12">
        <v>75</v>
      </c>
      <c r="C6" s="348"/>
      <c r="D6" t="s">
        <v>282</v>
      </c>
      <c r="E6" s="108">
        <v>0</v>
      </c>
      <c r="F6" s="108">
        <f>B70/11</f>
        <v>371986.14545454545</v>
      </c>
      <c r="G6" s="108">
        <f>F6</f>
        <v>371986.14545454545</v>
      </c>
      <c r="H6" s="108">
        <f t="shared" ref="H6:P6" si="0">G6</f>
        <v>371986.14545454545</v>
      </c>
      <c r="I6" s="108">
        <f t="shared" si="0"/>
        <v>371986.14545454545</v>
      </c>
      <c r="J6" s="108">
        <f t="shared" si="0"/>
        <v>371986.14545454545</v>
      </c>
      <c r="K6" s="108">
        <f t="shared" si="0"/>
        <v>371986.14545454545</v>
      </c>
      <c r="L6" s="108">
        <f t="shared" si="0"/>
        <v>371986.14545454545</v>
      </c>
      <c r="M6" s="108">
        <f t="shared" si="0"/>
        <v>371986.14545454545</v>
      </c>
      <c r="N6" s="108">
        <f t="shared" si="0"/>
        <v>371986.14545454545</v>
      </c>
      <c r="O6" s="108">
        <f t="shared" si="0"/>
        <v>371986.14545454545</v>
      </c>
      <c r="P6" s="108">
        <f t="shared" si="0"/>
        <v>371986.14545454545</v>
      </c>
      <c r="Q6" s="275">
        <f>SUM(E6:P6)</f>
        <v>4091847.6</v>
      </c>
    </row>
    <row r="7" spans="1:17" x14ac:dyDescent="0.25">
      <c r="A7" s="17" t="s">
        <v>7</v>
      </c>
      <c r="B7" s="12">
        <v>75</v>
      </c>
      <c r="C7" s="348"/>
      <c r="D7" t="s">
        <v>203</v>
      </c>
      <c r="E7" s="108">
        <v>0</v>
      </c>
      <c r="F7" s="108">
        <f>-(B136/11)</f>
        <v>-4720.636363636364</v>
      </c>
      <c r="G7" s="108">
        <f>F7</f>
        <v>-4720.636363636364</v>
      </c>
      <c r="H7" s="108">
        <f t="shared" ref="H7:P7" si="1">G7</f>
        <v>-4720.636363636364</v>
      </c>
      <c r="I7" s="108">
        <f t="shared" si="1"/>
        <v>-4720.636363636364</v>
      </c>
      <c r="J7" s="108">
        <f t="shared" si="1"/>
        <v>-4720.636363636364</v>
      </c>
      <c r="K7" s="108">
        <f t="shared" si="1"/>
        <v>-4720.636363636364</v>
      </c>
      <c r="L7" s="108">
        <f t="shared" si="1"/>
        <v>-4720.636363636364</v>
      </c>
      <c r="M7" s="108">
        <f t="shared" si="1"/>
        <v>-4720.636363636364</v>
      </c>
      <c r="N7" s="108">
        <f t="shared" si="1"/>
        <v>-4720.636363636364</v>
      </c>
      <c r="O7" s="108">
        <f t="shared" si="1"/>
        <v>-4720.636363636364</v>
      </c>
      <c r="P7" s="108">
        <f t="shared" si="1"/>
        <v>-4720.636363636364</v>
      </c>
      <c r="Q7" s="275">
        <f t="shared" ref="Q7:Q21" si="2">SUM(E7:P7)</f>
        <v>-51927.000000000015</v>
      </c>
    </row>
    <row r="8" spans="1:17" x14ac:dyDescent="0.25">
      <c r="A8" s="17" t="s">
        <v>8</v>
      </c>
      <c r="B8" s="12">
        <v>50</v>
      </c>
      <c r="C8" s="348"/>
      <c r="D8" t="s">
        <v>283</v>
      </c>
      <c r="E8" s="108">
        <v>0</v>
      </c>
      <c r="F8" s="108">
        <v>0</v>
      </c>
      <c r="G8" s="108">
        <f>B71/10</f>
        <v>29241</v>
      </c>
      <c r="H8" s="108">
        <f>G8</f>
        <v>29241</v>
      </c>
      <c r="I8" s="108">
        <f t="shared" ref="I8:P8" si="3">H8</f>
        <v>29241</v>
      </c>
      <c r="J8" s="108">
        <f t="shared" si="3"/>
        <v>29241</v>
      </c>
      <c r="K8" s="108">
        <f t="shared" si="3"/>
        <v>29241</v>
      </c>
      <c r="L8" s="108">
        <f t="shared" si="3"/>
        <v>29241</v>
      </c>
      <c r="M8" s="108">
        <f t="shared" si="3"/>
        <v>29241</v>
      </c>
      <c r="N8" s="108">
        <f t="shared" si="3"/>
        <v>29241</v>
      </c>
      <c r="O8" s="108">
        <f t="shared" si="3"/>
        <v>29241</v>
      </c>
      <c r="P8" s="108">
        <f t="shared" si="3"/>
        <v>29241</v>
      </c>
      <c r="Q8" s="275">
        <f t="shared" si="2"/>
        <v>292410</v>
      </c>
    </row>
    <row r="9" spans="1:17" x14ac:dyDescent="0.25">
      <c r="A9" s="17" t="s">
        <v>9</v>
      </c>
      <c r="B9" s="12">
        <v>50</v>
      </c>
      <c r="C9" s="348"/>
      <c r="D9" t="s">
        <v>284</v>
      </c>
      <c r="E9" s="108">
        <v>0</v>
      </c>
      <c r="F9" s="108">
        <v>0</v>
      </c>
      <c r="G9" s="108">
        <v>0</v>
      </c>
      <c r="H9" s="108">
        <f>B72/9</f>
        <v>3166.6666666666665</v>
      </c>
      <c r="I9" s="108">
        <f>H9</f>
        <v>3166.6666666666665</v>
      </c>
      <c r="J9" s="108">
        <f t="shared" ref="J9:P9" si="4">I9</f>
        <v>3166.6666666666665</v>
      </c>
      <c r="K9" s="108">
        <f t="shared" si="4"/>
        <v>3166.6666666666665</v>
      </c>
      <c r="L9" s="108">
        <f t="shared" si="4"/>
        <v>3166.6666666666665</v>
      </c>
      <c r="M9" s="108">
        <f t="shared" si="4"/>
        <v>3166.6666666666665</v>
      </c>
      <c r="N9" s="108">
        <f t="shared" si="4"/>
        <v>3166.6666666666665</v>
      </c>
      <c r="O9" s="108">
        <f t="shared" si="4"/>
        <v>3166.6666666666665</v>
      </c>
      <c r="P9" s="108">
        <f t="shared" si="4"/>
        <v>3166.6666666666665</v>
      </c>
      <c r="Q9" s="275">
        <f t="shared" si="2"/>
        <v>28500.000000000004</v>
      </c>
    </row>
    <row r="10" spans="1:17" x14ac:dyDescent="0.25">
      <c r="A10" s="17" t="s">
        <v>10</v>
      </c>
      <c r="B10" s="12">
        <v>60</v>
      </c>
      <c r="C10" s="34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275"/>
    </row>
    <row r="11" spans="1:17" x14ac:dyDescent="0.25">
      <c r="A11" s="17" t="s">
        <v>11</v>
      </c>
      <c r="B11" s="12">
        <v>60</v>
      </c>
      <c r="C11" s="348"/>
      <c r="D11" s="274" t="s">
        <v>300</v>
      </c>
      <c r="E11" s="108">
        <f>SUM(E6:E10)</f>
        <v>0</v>
      </c>
      <c r="F11" s="108">
        <f>SUM(F6:F10)</f>
        <v>367265.50909090909</v>
      </c>
      <c r="G11" s="108">
        <f t="shared" ref="G11:Q11" si="5">SUM(G6:G10)</f>
        <v>396506.50909090909</v>
      </c>
      <c r="H11" s="108">
        <f t="shared" si="5"/>
        <v>399673.17575757578</v>
      </c>
      <c r="I11" s="108">
        <f t="shared" si="5"/>
        <v>399673.17575757578</v>
      </c>
      <c r="J11" s="108">
        <f t="shared" si="5"/>
        <v>399673.17575757578</v>
      </c>
      <c r="K11" s="108">
        <f t="shared" si="5"/>
        <v>399673.17575757578</v>
      </c>
      <c r="L11" s="108">
        <f t="shared" si="5"/>
        <v>399673.17575757578</v>
      </c>
      <c r="M11" s="108">
        <f t="shared" si="5"/>
        <v>399673.17575757578</v>
      </c>
      <c r="N11" s="108">
        <f t="shared" si="5"/>
        <v>399673.17575757578</v>
      </c>
      <c r="O11" s="108">
        <f t="shared" si="5"/>
        <v>399673.17575757578</v>
      </c>
      <c r="P11" s="108">
        <f t="shared" si="5"/>
        <v>399673.17575757578</v>
      </c>
      <c r="Q11" s="275">
        <f t="shared" si="5"/>
        <v>4360830.5999999996</v>
      </c>
    </row>
    <row r="12" spans="1:17" x14ac:dyDescent="0.25">
      <c r="A12" s="17" t="s">
        <v>12</v>
      </c>
      <c r="B12" s="12">
        <v>0</v>
      </c>
      <c r="C12" s="348"/>
      <c r="D12" s="274" t="s">
        <v>299</v>
      </c>
      <c r="E12" s="108">
        <f>E11</f>
        <v>0</v>
      </c>
      <c r="F12" s="108">
        <f>E12+F11</f>
        <v>367265.50909090909</v>
      </c>
      <c r="G12" s="108">
        <f t="shared" ref="G12:P12" si="6">F12+G11</f>
        <v>763772.01818181819</v>
      </c>
      <c r="H12" s="108">
        <f t="shared" si="6"/>
        <v>1163445.1939393939</v>
      </c>
      <c r="I12" s="108">
        <f t="shared" si="6"/>
        <v>1563118.3696969696</v>
      </c>
      <c r="J12" s="108">
        <f t="shared" si="6"/>
        <v>1962791.5454545454</v>
      </c>
      <c r="K12" s="108">
        <f t="shared" si="6"/>
        <v>2362464.7212121212</v>
      </c>
      <c r="L12" s="108">
        <f t="shared" si="6"/>
        <v>2762137.896969697</v>
      </c>
      <c r="M12" s="108">
        <f t="shared" si="6"/>
        <v>3161811.0727272728</v>
      </c>
      <c r="N12" s="108">
        <f t="shared" si="6"/>
        <v>3561484.2484848485</v>
      </c>
      <c r="O12" s="108">
        <f t="shared" si="6"/>
        <v>3961157.4242424243</v>
      </c>
      <c r="P12" s="108">
        <f t="shared" si="6"/>
        <v>4360830.5999999996</v>
      </c>
      <c r="Q12" s="275"/>
    </row>
    <row r="13" spans="1:17" x14ac:dyDescent="0.25">
      <c r="A13" s="17" t="s">
        <v>14</v>
      </c>
      <c r="B13" s="12">
        <v>0</v>
      </c>
      <c r="C13" s="34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275"/>
    </row>
    <row r="14" spans="1:17" x14ac:dyDescent="0.25">
      <c r="A14" s="17" t="s">
        <v>15</v>
      </c>
      <c r="B14" s="12">
        <v>0</v>
      </c>
      <c r="C14" s="348"/>
      <c r="D14" s="273" t="s">
        <v>281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275"/>
    </row>
    <row r="15" spans="1:17" x14ac:dyDescent="0.25">
      <c r="A15" s="17" t="s">
        <v>16</v>
      </c>
      <c r="B15" s="12">
        <v>0</v>
      </c>
      <c r="C15" s="348"/>
      <c r="D15" t="s">
        <v>164</v>
      </c>
      <c r="E15" s="108">
        <v>0</v>
      </c>
      <c r="F15" s="108">
        <f>B106/11</f>
        <v>140509.09090909091</v>
      </c>
      <c r="G15" s="108">
        <f>F15</f>
        <v>140509.09090909091</v>
      </c>
      <c r="H15" s="108">
        <f t="shared" ref="H15:P15" si="7">G15</f>
        <v>140509.09090909091</v>
      </c>
      <c r="I15" s="108">
        <f t="shared" si="7"/>
        <v>140509.09090909091</v>
      </c>
      <c r="J15" s="108">
        <f t="shared" si="7"/>
        <v>140509.09090909091</v>
      </c>
      <c r="K15" s="108">
        <f t="shared" si="7"/>
        <v>140509.09090909091</v>
      </c>
      <c r="L15" s="108">
        <f t="shared" si="7"/>
        <v>140509.09090909091</v>
      </c>
      <c r="M15" s="108">
        <f t="shared" si="7"/>
        <v>140509.09090909091</v>
      </c>
      <c r="N15" s="108">
        <f t="shared" si="7"/>
        <v>140509.09090909091</v>
      </c>
      <c r="O15" s="108">
        <f t="shared" si="7"/>
        <v>140509.09090909091</v>
      </c>
      <c r="P15" s="108">
        <f t="shared" si="7"/>
        <v>140509.09090909091</v>
      </c>
      <c r="Q15" s="275">
        <f t="shared" si="2"/>
        <v>1545599.9999999998</v>
      </c>
    </row>
    <row r="16" spans="1:17" x14ac:dyDescent="0.25">
      <c r="A16" s="17" t="s">
        <v>3</v>
      </c>
      <c r="B16" s="19">
        <f>SUM(B4:B15)</f>
        <v>570</v>
      </c>
      <c r="C16" s="62"/>
      <c r="D16" t="s">
        <v>152</v>
      </c>
      <c r="E16" s="108">
        <v>0</v>
      </c>
      <c r="F16" s="108">
        <f>SUM(B107:B108)/11</f>
        <v>65336.727272727272</v>
      </c>
      <c r="G16" s="108">
        <f>F16</f>
        <v>65336.727272727272</v>
      </c>
      <c r="H16" s="108">
        <f t="shared" ref="H16:P16" si="8">G16</f>
        <v>65336.727272727272</v>
      </c>
      <c r="I16" s="108">
        <f t="shared" si="8"/>
        <v>65336.727272727272</v>
      </c>
      <c r="J16" s="108">
        <f t="shared" si="8"/>
        <v>65336.727272727272</v>
      </c>
      <c r="K16" s="108">
        <f t="shared" si="8"/>
        <v>65336.727272727272</v>
      </c>
      <c r="L16" s="108">
        <f t="shared" si="8"/>
        <v>65336.727272727272</v>
      </c>
      <c r="M16" s="108">
        <f t="shared" si="8"/>
        <v>65336.727272727272</v>
      </c>
      <c r="N16" s="108">
        <f t="shared" si="8"/>
        <v>65336.727272727272</v>
      </c>
      <c r="O16" s="108">
        <f t="shared" si="8"/>
        <v>65336.727272727272</v>
      </c>
      <c r="P16" s="108">
        <f t="shared" si="8"/>
        <v>65336.727272727272</v>
      </c>
      <c r="Q16" s="275">
        <f t="shared" si="2"/>
        <v>718704.00000000012</v>
      </c>
    </row>
    <row r="17" spans="1:17" x14ac:dyDescent="0.25">
      <c r="A17" s="20"/>
      <c r="B17" s="21"/>
      <c r="C17" s="62"/>
      <c r="D17" t="s">
        <v>165</v>
      </c>
      <c r="E17" s="108">
        <v>0</v>
      </c>
      <c r="F17" s="108">
        <f>(B116+B117+B118+B119+B120+B121)/11+B114</f>
        <v>17522.545454545456</v>
      </c>
      <c r="G17" s="108">
        <f>(B116+B117+B118+B119+B120+B121)/11</f>
        <v>3272.5454545454545</v>
      </c>
      <c r="H17" s="108">
        <f>G17</f>
        <v>3272.5454545454545</v>
      </c>
      <c r="I17" s="108">
        <f t="shared" ref="I17:P17" si="9">H17</f>
        <v>3272.5454545454545</v>
      </c>
      <c r="J17" s="108">
        <f t="shared" si="9"/>
        <v>3272.5454545454545</v>
      </c>
      <c r="K17" s="108">
        <f t="shared" si="9"/>
        <v>3272.5454545454545</v>
      </c>
      <c r="L17" s="108">
        <f t="shared" si="9"/>
        <v>3272.5454545454545</v>
      </c>
      <c r="M17" s="108">
        <f t="shared" si="9"/>
        <v>3272.5454545454545</v>
      </c>
      <c r="N17" s="108">
        <f t="shared" si="9"/>
        <v>3272.5454545454545</v>
      </c>
      <c r="O17" s="108">
        <f t="shared" si="9"/>
        <v>3272.5454545454545</v>
      </c>
      <c r="P17" s="108">
        <f t="shared" si="9"/>
        <v>3272.5454545454545</v>
      </c>
      <c r="Q17" s="275">
        <f t="shared" si="2"/>
        <v>50248.000000000015</v>
      </c>
    </row>
    <row r="18" spans="1:17" x14ac:dyDescent="0.25">
      <c r="A18" s="22" t="s">
        <v>17</v>
      </c>
      <c r="B18" s="23" t="str">
        <f>B1</f>
        <v>21-22</v>
      </c>
      <c r="C18" s="349"/>
      <c r="D18" s="3" t="s">
        <v>301</v>
      </c>
      <c r="E18" s="108">
        <v>0</v>
      </c>
      <c r="F18" s="108">
        <f>B160/11</f>
        <v>74545.454545454544</v>
      </c>
      <c r="G18" s="108">
        <f t="shared" ref="G18:G25" si="10">F18</f>
        <v>74545.454545454544</v>
      </c>
      <c r="H18" s="108">
        <f t="shared" ref="H18:P18" si="11">G18</f>
        <v>74545.454545454544</v>
      </c>
      <c r="I18" s="108">
        <f t="shared" si="11"/>
        <v>74545.454545454544</v>
      </c>
      <c r="J18" s="108">
        <f t="shared" si="11"/>
        <v>74545.454545454544</v>
      </c>
      <c r="K18" s="108">
        <f t="shared" si="11"/>
        <v>74545.454545454544</v>
      </c>
      <c r="L18" s="108">
        <f t="shared" si="11"/>
        <v>74545.454545454544</v>
      </c>
      <c r="M18" s="108">
        <f t="shared" si="11"/>
        <v>74545.454545454544</v>
      </c>
      <c r="N18" s="108">
        <f t="shared" si="11"/>
        <v>74545.454545454544</v>
      </c>
      <c r="O18" s="108">
        <f t="shared" si="11"/>
        <v>74545.454545454544</v>
      </c>
      <c r="P18" s="108">
        <f t="shared" si="11"/>
        <v>74545.454545454544</v>
      </c>
      <c r="Q18" s="275">
        <f t="shared" si="2"/>
        <v>820000.00000000012</v>
      </c>
    </row>
    <row r="19" spans="1:17" x14ac:dyDescent="0.25">
      <c r="A19" s="24" t="s">
        <v>18</v>
      </c>
      <c r="B19" s="21">
        <f>B16*0.12</f>
        <v>68.399999999999991</v>
      </c>
      <c r="C19" s="62"/>
      <c r="D19" s="3" t="s">
        <v>170</v>
      </c>
      <c r="E19" s="108">
        <v>0</v>
      </c>
      <c r="F19" s="108">
        <f>(B148+B149)/11</f>
        <v>9000</v>
      </c>
      <c r="G19" s="108">
        <f t="shared" si="10"/>
        <v>9000</v>
      </c>
      <c r="H19" s="108">
        <f t="shared" ref="H19:P21" si="12">G19</f>
        <v>9000</v>
      </c>
      <c r="I19" s="108">
        <f t="shared" si="12"/>
        <v>9000</v>
      </c>
      <c r="J19" s="108">
        <f t="shared" si="12"/>
        <v>9000</v>
      </c>
      <c r="K19" s="108">
        <f t="shared" si="12"/>
        <v>9000</v>
      </c>
      <c r="L19" s="108">
        <f t="shared" si="12"/>
        <v>9000</v>
      </c>
      <c r="M19" s="108">
        <f t="shared" si="12"/>
        <v>9000</v>
      </c>
      <c r="N19" s="108">
        <f t="shared" si="12"/>
        <v>9000</v>
      </c>
      <c r="O19" s="108">
        <f t="shared" si="12"/>
        <v>9000</v>
      </c>
      <c r="P19" s="108">
        <f t="shared" si="12"/>
        <v>9000</v>
      </c>
      <c r="Q19" s="275">
        <f t="shared" si="2"/>
        <v>99000</v>
      </c>
    </row>
    <row r="20" spans="1:17" x14ac:dyDescent="0.25">
      <c r="A20" s="24"/>
      <c r="B20" s="21"/>
      <c r="C20" s="62"/>
      <c r="D20" s="3" t="s">
        <v>302</v>
      </c>
      <c r="E20" s="108">
        <v>0</v>
      </c>
      <c r="F20" s="108">
        <f>B125/11</f>
        <v>9068.181818181818</v>
      </c>
      <c r="G20" s="108">
        <f t="shared" si="10"/>
        <v>9068.181818181818</v>
      </c>
      <c r="H20" s="108">
        <f t="shared" si="12"/>
        <v>9068.181818181818</v>
      </c>
      <c r="I20" s="108">
        <f t="shared" si="12"/>
        <v>9068.181818181818</v>
      </c>
      <c r="J20" s="108">
        <f t="shared" si="12"/>
        <v>9068.181818181818</v>
      </c>
      <c r="K20" s="108">
        <f t="shared" si="12"/>
        <v>9068.181818181818</v>
      </c>
      <c r="L20" s="108">
        <f t="shared" si="12"/>
        <v>9068.181818181818</v>
      </c>
      <c r="M20" s="108">
        <f t="shared" si="12"/>
        <v>9068.181818181818</v>
      </c>
      <c r="N20" s="108">
        <f t="shared" si="12"/>
        <v>9068.181818181818</v>
      </c>
      <c r="O20" s="108">
        <f t="shared" si="12"/>
        <v>9068.181818181818</v>
      </c>
      <c r="P20" s="108">
        <f t="shared" si="12"/>
        <v>9068.181818181818</v>
      </c>
      <c r="Q20" s="275">
        <f t="shared" si="2"/>
        <v>99750.000000000015</v>
      </c>
    </row>
    <row r="21" spans="1:17" x14ac:dyDescent="0.25">
      <c r="A21" s="24"/>
      <c r="B21" s="21"/>
      <c r="C21" s="62"/>
      <c r="D21" s="3" t="s">
        <v>304</v>
      </c>
      <c r="E21" s="108">
        <v>0</v>
      </c>
      <c r="F21" s="108">
        <f>(B111+B134+B150+B139+B131)/11</f>
        <v>19434.545454545456</v>
      </c>
      <c r="G21" s="108">
        <f t="shared" si="10"/>
        <v>19434.545454545456</v>
      </c>
      <c r="H21" s="108">
        <f t="shared" si="12"/>
        <v>19434.545454545456</v>
      </c>
      <c r="I21" s="108">
        <f t="shared" si="12"/>
        <v>19434.545454545456</v>
      </c>
      <c r="J21" s="108">
        <f t="shared" si="12"/>
        <v>19434.545454545456</v>
      </c>
      <c r="K21" s="108">
        <f t="shared" si="12"/>
        <v>19434.545454545456</v>
      </c>
      <c r="L21" s="108">
        <f t="shared" si="12"/>
        <v>19434.545454545456</v>
      </c>
      <c r="M21" s="108">
        <f t="shared" si="12"/>
        <v>19434.545454545456</v>
      </c>
      <c r="N21" s="108">
        <f t="shared" si="12"/>
        <v>19434.545454545456</v>
      </c>
      <c r="O21" s="108">
        <f t="shared" si="12"/>
        <v>19434.545454545456</v>
      </c>
      <c r="P21" s="108">
        <f t="shared" si="12"/>
        <v>19434.545454545456</v>
      </c>
      <c r="Q21" s="275">
        <f t="shared" si="2"/>
        <v>213780.00000000006</v>
      </c>
    </row>
    <row r="22" spans="1:17" x14ac:dyDescent="0.25">
      <c r="A22" s="24" t="s">
        <v>19</v>
      </c>
      <c r="B22" s="26">
        <v>0.95</v>
      </c>
      <c r="C22" s="350"/>
      <c r="D22" s="3" t="s">
        <v>303</v>
      </c>
      <c r="E22" s="108">
        <v>0</v>
      </c>
      <c r="F22" s="108">
        <f>(B127+B137+B138+B144)/11</f>
        <v>28231.054545454543</v>
      </c>
      <c r="G22" s="108">
        <f t="shared" si="10"/>
        <v>28231.054545454543</v>
      </c>
      <c r="H22" s="108">
        <f t="shared" ref="H22:P22" si="13">G22</f>
        <v>28231.054545454543</v>
      </c>
      <c r="I22" s="108">
        <f t="shared" si="13"/>
        <v>28231.054545454543</v>
      </c>
      <c r="J22" s="108">
        <f t="shared" si="13"/>
        <v>28231.054545454543</v>
      </c>
      <c r="K22" s="108">
        <f t="shared" si="13"/>
        <v>28231.054545454543</v>
      </c>
      <c r="L22" s="108">
        <f t="shared" si="13"/>
        <v>28231.054545454543</v>
      </c>
      <c r="M22" s="108">
        <f t="shared" si="13"/>
        <v>28231.054545454543</v>
      </c>
      <c r="N22" s="108">
        <f t="shared" si="13"/>
        <v>28231.054545454543</v>
      </c>
      <c r="O22" s="108">
        <f t="shared" si="13"/>
        <v>28231.054545454543</v>
      </c>
      <c r="P22" s="108">
        <f t="shared" si="13"/>
        <v>28231.054545454543</v>
      </c>
      <c r="Q22" s="275">
        <f t="shared" ref="Q22:Q31" si="14">SUM(E22:P22)</f>
        <v>310541.59999999998</v>
      </c>
    </row>
    <row r="23" spans="1:17" x14ac:dyDescent="0.25">
      <c r="A23" s="27"/>
      <c r="B23" s="28"/>
      <c r="C23" s="351"/>
      <c r="D23" s="3" t="s">
        <v>305</v>
      </c>
      <c r="E23" s="108">
        <v>0</v>
      </c>
      <c r="F23" s="108">
        <f>B151/11</f>
        <v>777.27272727272725</v>
      </c>
      <c r="G23" s="108">
        <f t="shared" si="10"/>
        <v>777.27272727272725</v>
      </c>
      <c r="H23" s="108">
        <f t="shared" ref="H23:P23" si="15">G23</f>
        <v>777.27272727272725</v>
      </c>
      <c r="I23" s="108">
        <f t="shared" si="15"/>
        <v>777.27272727272725</v>
      </c>
      <c r="J23" s="108">
        <f t="shared" si="15"/>
        <v>777.27272727272725</v>
      </c>
      <c r="K23" s="108">
        <f t="shared" si="15"/>
        <v>777.27272727272725</v>
      </c>
      <c r="L23" s="108">
        <f t="shared" si="15"/>
        <v>777.27272727272725</v>
      </c>
      <c r="M23" s="108">
        <f t="shared" si="15"/>
        <v>777.27272727272725</v>
      </c>
      <c r="N23" s="108">
        <f t="shared" si="15"/>
        <v>777.27272727272725</v>
      </c>
      <c r="O23" s="108">
        <f t="shared" si="15"/>
        <v>777.27272727272725</v>
      </c>
      <c r="P23" s="108">
        <f t="shared" si="15"/>
        <v>777.27272727272725</v>
      </c>
      <c r="Q23" s="275">
        <f t="shared" si="14"/>
        <v>8549.9999999999982</v>
      </c>
    </row>
    <row r="24" spans="1:17" x14ac:dyDescent="0.25">
      <c r="A24" s="22" t="s">
        <v>20</v>
      </c>
      <c r="B24" s="23" t="str">
        <f>B1</f>
        <v>21-22</v>
      </c>
      <c r="C24" s="349"/>
      <c r="D24" s="3" t="s">
        <v>173</v>
      </c>
      <c r="E24" s="108">
        <v>0</v>
      </c>
      <c r="F24" s="108">
        <f>(B115)/11</f>
        <v>10000</v>
      </c>
      <c r="G24" s="108">
        <f t="shared" si="10"/>
        <v>10000</v>
      </c>
      <c r="H24" s="108">
        <f t="shared" ref="H24:P24" si="16">G24</f>
        <v>10000</v>
      </c>
      <c r="I24" s="108">
        <f t="shared" si="16"/>
        <v>10000</v>
      </c>
      <c r="J24" s="108">
        <f t="shared" si="16"/>
        <v>10000</v>
      </c>
      <c r="K24" s="108">
        <f t="shared" si="16"/>
        <v>10000</v>
      </c>
      <c r="L24" s="108">
        <f t="shared" si="16"/>
        <v>10000</v>
      </c>
      <c r="M24" s="108">
        <f t="shared" si="16"/>
        <v>10000</v>
      </c>
      <c r="N24" s="108">
        <f t="shared" si="16"/>
        <v>10000</v>
      </c>
      <c r="O24" s="108">
        <f t="shared" si="16"/>
        <v>10000</v>
      </c>
      <c r="P24" s="108">
        <f t="shared" si="16"/>
        <v>10000</v>
      </c>
      <c r="Q24" s="275">
        <f t="shared" si="14"/>
        <v>110000</v>
      </c>
    </row>
    <row r="25" spans="1:17" x14ac:dyDescent="0.25">
      <c r="A25" s="29" t="s">
        <v>21</v>
      </c>
      <c r="B25" s="30">
        <f>(SUM(B4:B9)/25)+(SUM(B10:B15)/30)</f>
        <v>22</v>
      </c>
      <c r="C25" s="339"/>
      <c r="D25" s="3" t="s">
        <v>308</v>
      </c>
      <c r="E25" s="108">
        <v>0</v>
      </c>
      <c r="F25" s="108">
        <f>B123/11</f>
        <v>22152.272727272728</v>
      </c>
      <c r="G25" s="108">
        <f t="shared" si="10"/>
        <v>22152.272727272728</v>
      </c>
      <c r="H25" s="108">
        <f t="shared" ref="H25:P25" si="17">G25</f>
        <v>22152.272727272728</v>
      </c>
      <c r="I25" s="108">
        <f t="shared" si="17"/>
        <v>22152.272727272728</v>
      </c>
      <c r="J25" s="108">
        <f t="shared" si="17"/>
        <v>22152.272727272728</v>
      </c>
      <c r="K25" s="108">
        <f t="shared" si="17"/>
        <v>22152.272727272728</v>
      </c>
      <c r="L25" s="108">
        <f t="shared" si="17"/>
        <v>22152.272727272728</v>
      </c>
      <c r="M25" s="108">
        <f t="shared" si="17"/>
        <v>22152.272727272728</v>
      </c>
      <c r="N25" s="108">
        <f t="shared" si="17"/>
        <v>22152.272727272728</v>
      </c>
      <c r="O25" s="108">
        <f t="shared" si="17"/>
        <v>22152.272727272728</v>
      </c>
      <c r="P25" s="108">
        <f t="shared" si="17"/>
        <v>22152.272727272728</v>
      </c>
      <c r="Q25" s="275">
        <f t="shared" si="14"/>
        <v>243675.00000000006</v>
      </c>
    </row>
    <row r="26" spans="1:17" x14ac:dyDescent="0.25">
      <c r="A26" s="29" t="s">
        <v>22</v>
      </c>
      <c r="B26" s="31">
        <v>3</v>
      </c>
      <c r="C26" s="340"/>
      <c r="D26" s="3" t="s">
        <v>174</v>
      </c>
      <c r="E26" s="108">
        <v>0</v>
      </c>
      <c r="F26" s="108">
        <v>0</v>
      </c>
      <c r="G26" s="108">
        <f>B142/4</f>
        <v>10000</v>
      </c>
      <c r="H26" s="108">
        <v>0</v>
      </c>
      <c r="I26" s="108">
        <v>0</v>
      </c>
      <c r="J26" s="108">
        <f>G26</f>
        <v>10000</v>
      </c>
      <c r="K26" s="108">
        <v>0</v>
      </c>
      <c r="L26" s="108">
        <v>0</v>
      </c>
      <c r="M26" s="108">
        <f>J26</f>
        <v>10000</v>
      </c>
      <c r="N26" s="108">
        <v>0</v>
      </c>
      <c r="O26" s="108">
        <v>0</v>
      </c>
      <c r="P26" s="108">
        <f>M26</f>
        <v>10000</v>
      </c>
      <c r="Q26" s="275">
        <f t="shared" si="14"/>
        <v>40000</v>
      </c>
    </row>
    <row r="27" spans="1:17" x14ac:dyDescent="0.25">
      <c r="A27" s="29" t="s">
        <v>23</v>
      </c>
      <c r="B27" s="31">
        <v>1</v>
      </c>
      <c r="C27" s="340"/>
      <c r="D27" s="3" t="s">
        <v>107</v>
      </c>
      <c r="E27" s="108">
        <v>0</v>
      </c>
      <c r="F27" s="108">
        <f>B128/11</f>
        <v>967.27272727272725</v>
      </c>
      <c r="G27" s="108">
        <f>F27</f>
        <v>967.27272727272725</v>
      </c>
      <c r="H27" s="108">
        <f t="shared" ref="H27:P27" si="18">G27</f>
        <v>967.27272727272725</v>
      </c>
      <c r="I27" s="108">
        <f t="shared" si="18"/>
        <v>967.27272727272725</v>
      </c>
      <c r="J27" s="108">
        <f t="shared" si="18"/>
        <v>967.27272727272725</v>
      </c>
      <c r="K27" s="108">
        <f t="shared" si="18"/>
        <v>967.27272727272725</v>
      </c>
      <c r="L27" s="108">
        <f t="shared" si="18"/>
        <v>967.27272727272725</v>
      </c>
      <c r="M27" s="108">
        <f t="shared" si="18"/>
        <v>967.27272727272725</v>
      </c>
      <c r="N27" s="108">
        <f t="shared" si="18"/>
        <v>967.27272727272725</v>
      </c>
      <c r="O27" s="108">
        <f t="shared" si="18"/>
        <v>967.27272727272725</v>
      </c>
      <c r="P27" s="108">
        <f t="shared" si="18"/>
        <v>967.27272727272725</v>
      </c>
      <c r="Q27" s="275">
        <f t="shared" si="14"/>
        <v>10640</v>
      </c>
    </row>
    <row r="28" spans="1:17" x14ac:dyDescent="0.25">
      <c r="A28" s="29" t="s">
        <v>24</v>
      </c>
      <c r="B28" s="31">
        <v>1</v>
      </c>
      <c r="C28" s="340"/>
      <c r="D28" s="3" t="s">
        <v>309</v>
      </c>
      <c r="E28" s="108">
        <v>0</v>
      </c>
      <c r="F28" s="108">
        <f>SUM(B152:B154)/11</f>
        <v>3818.181818181818</v>
      </c>
      <c r="G28" s="108">
        <f>F28</f>
        <v>3818.181818181818</v>
      </c>
      <c r="H28" s="108">
        <f t="shared" ref="H28:P29" si="19">G28</f>
        <v>3818.181818181818</v>
      </c>
      <c r="I28" s="108">
        <f t="shared" si="19"/>
        <v>3818.181818181818</v>
      </c>
      <c r="J28" s="108">
        <f t="shared" si="19"/>
        <v>3818.181818181818</v>
      </c>
      <c r="K28" s="108">
        <f t="shared" si="19"/>
        <v>3818.181818181818</v>
      </c>
      <c r="L28" s="108">
        <f t="shared" si="19"/>
        <v>3818.181818181818</v>
      </c>
      <c r="M28" s="108">
        <f t="shared" si="19"/>
        <v>3818.181818181818</v>
      </c>
      <c r="N28" s="108">
        <f t="shared" si="19"/>
        <v>3818.181818181818</v>
      </c>
      <c r="O28" s="108">
        <f t="shared" si="19"/>
        <v>3818.181818181818</v>
      </c>
      <c r="P28" s="108">
        <f t="shared" si="19"/>
        <v>3818.181818181818</v>
      </c>
      <c r="Q28" s="275">
        <f t="shared" si="14"/>
        <v>41999.999999999985</v>
      </c>
    </row>
    <row r="29" spans="1:17" x14ac:dyDescent="0.25">
      <c r="A29" s="29" t="s">
        <v>25</v>
      </c>
      <c r="B29" s="31">
        <v>1</v>
      </c>
      <c r="C29" s="340"/>
      <c r="D29" s="3" t="s">
        <v>161</v>
      </c>
      <c r="E29" s="108">
        <v>0</v>
      </c>
      <c r="F29" s="108">
        <f>(B122+B124+B129+B130+B132+B133+B135+B140+B141+B145+B110)/11</f>
        <v>4070</v>
      </c>
      <c r="G29" s="108">
        <f>F29</f>
        <v>4070</v>
      </c>
      <c r="H29" s="108">
        <f t="shared" si="19"/>
        <v>4070</v>
      </c>
      <c r="I29" s="108">
        <f t="shared" si="19"/>
        <v>4070</v>
      </c>
      <c r="J29" s="108">
        <f t="shared" si="19"/>
        <v>4070</v>
      </c>
      <c r="K29" s="108">
        <f t="shared" si="19"/>
        <v>4070</v>
      </c>
      <c r="L29" s="108">
        <f t="shared" si="19"/>
        <v>4070</v>
      </c>
      <c r="M29" s="108">
        <f t="shared" si="19"/>
        <v>4070</v>
      </c>
      <c r="N29" s="108">
        <f t="shared" si="19"/>
        <v>4070</v>
      </c>
      <c r="O29" s="108">
        <f t="shared" si="19"/>
        <v>4070</v>
      </c>
      <c r="P29" s="108">
        <f t="shared" si="19"/>
        <v>4070</v>
      </c>
      <c r="Q29" s="275">
        <f t="shared" si="14"/>
        <v>44770</v>
      </c>
    </row>
    <row r="30" spans="1:17" x14ac:dyDescent="0.25">
      <c r="A30" s="29" t="s">
        <v>26</v>
      </c>
      <c r="B30" s="31">
        <v>0</v>
      </c>
      <c r="C30" s="340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275">
        <f t="shared" si="14"/>
        <v>0</v>
      </c>
    </row>
    <row r="31" spans="1:17" x14ac:dyDescent="0.25">
      <c r="A31" s="33" t="s">
        <v>27</v>
      </c>
      <c r="B31" s="31">
        <v>0</v>
      </c>
      <c r="C31" s="340"/>
      <c r="D31" s="274" t="s">
        <v>306</v>
      </c>
      <c r="E31" s="108">
        <f t="shared" ref="E31:P31" si="20">SUM(E15:E30)</f>
        <v>0</v>
      </c>
      <c r="F31" s="108">
        <f t="shared" si="20"/>
        <v>405432.6</v>
      </c>
      <c r="G31" s="108">
        <f t="shared" si="20"/>
        <v>401182.6</v>
      </c>
      <c r="H31" s="108">
        <f t="shared" si="20"/>
        <v>391182.6</v>
      </c>
      <c r="I31" s="108">
        <f t="shared" si="20"/>
        <v>391182.6</v>
      </c>
      <c r="J31" s="108">
        <f t="shared" si="20"/>
        <v>401182.6</v>
      </c>
      <c r="K31" s="108">
        <f t="shared" si="20"/>
        <v>391182.6</v>
      </c>
      <c r="L31" s="108">
        <f t="shared" si="20"/>
        <v>391182.6</v>
      </c>
      <c r="M31" s="108">
        <f t="shared" si="20"/>
        <v>401182.6</v>
      </c>
      <c r="N31" s="108">
        <f t="shared" si="20"/>
        <v>391182.6</v>
      </c>
      <c r="O31" s="108">
        <f t="shared" si="20"/>
        <v>391182.6</v>
      </c>
      <c r="P31" s="108">
        <f t="shared" si="20"/>
        <v>401182.6</v>
      </c>
      <c r="Q31" s="275">
        <f t="shared" si="14"/>
        <v>4357258.6000000006</v>
      </c>
    </row>
    <row r="32" spans="1:17" x14ac:dyDescent="0.25">
      <c r="A32" s="33" t="s">
        <v>28</v>
      </c>
      <c r="B32" s="31">
        <v>0</v>
      </c>
      <c r="C32" s="340"/>
      <c r="D32" s="274" t="s">
        <v>307</v>
      </c>
      <c r="E32" s="108">
        <f>E31</f>
        <v>0</v>
      </c>
      <c r="F32" s="108">
        <f>E32+F31</f>
        <v>405432.6</v>
      </c>
      <c r="G32" s="108">
        <f>F32+G31</f>
        <v>806615.2</v>
      </c>
      <c r="H32" s="108">
        <f t="shared" ref="H32:P32" si="21">G32+H31</f>
        <v>1197797.7999999998</v>
      </c>
      <c r="I32" s="108">
        <f t="shared" si="21"/>
        <v>1588980.4</v>
      </c>
      <c r="J32" s="108">
        <f t="shared" si="21"/>
        <v>1990163</v>
      </c>
      <c r="K32" s="108">
        <f t="shared" si="21"/>
        <v>2381345.6</v>
      </c>
      <c r="L32" s="108">
        <f t="shared" si="21"/>
        <v>2772528.2</v>
      </c>
      <c r="M32" s="108">
        <f t="shared" si="21"/>
        <v>3173710.8000000003</v>
      </c>
      <c r="N32" s="108">
        <f t="shared" si="21"/>
        <v>3564893.4000000004</v>
      </c>
      <c r="O32" s="108">
        <f t="shared" si="21"/>
        <v>3956076.0000000005</v>
      </c>
      <c r="P32" s="108">
        <f t="shared" si="21"/>
        <v>4357258.6000000006</v>
      </c>
      <c r="Q32" s="275"/>
    </row>
    <row r="33" spans="1:17" x14ac:dyDescent="0.25">
      <c r="A33" s="33" t="s">
        <v>29</v>
      </c>
      <c r="B33" s="31">
        <v>0</v>
      </c>
      <c r="C33" s="340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275"/>
    </row>
    <row r="34" spans="1:17" x14ac:dyDescent="0.25">
      <c r="A34" s="33" t="s">
        <v>30</v>
      </c>
      <c r="B34" s="31">
        <v>0</v>
      </c>
      <c r="C34" s="340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275"/>
    </row>
    <row r="35" spans="1:17" x14ac:dyDescent="0.25">
      <c r="A35" s="34" t="s">
        <v>31</v>
      </c>
      <c r="B35" s="35">
        <f t="shared" ref="B35" si="22">SUM(B25:B34)</f>
        <v>28</v>
      </c>
      <c r="C35" s="341"/>
      <c r="D35" s="274" t="s">
        <v>311</v>
      </c>
      <c r="E35" s="108">
        <f t="shared" ref="E35:P35" si="23">E11-E31</f>
        <v>0</v>
      </c>
      <c r="F35" s="108">
        <f t="shared" si="23"/>
        <v>-38167.090909090883</v>
      </c>
      <c r="G35" s="108">
        <f t="shared" si="23"/>
        <v>-4676.0909090908826</v>
      </c>
      <c r="H35" s="108">
        <f t="shared" si="23"/>
        <v>8490.5757575758034</v>
      </c>
      <c r="I35" s="108">
        <f t="shared" si="23"/>
        <v>8490.5757575758034</v>
      </c>
      <c r="J35" s="108">
        <f t="shared" si="23"/>
        <v>-1509.4242424241966</v>
      </c>
      <c r="K35" s="108">
        <f t="shared" si="23"/>
        <v>8490.5757575758034</v>
      </c>
      <c r="L35" s="108">
        <f t="shared" si="23"/>
        <v>8490.5757575758034</v>
      </c>
      <c r="M35" s="108">
        <f t="shared" si="23"/>
        <v>-1509.4242424241966</v>
      </c>
      <c r="N35" s="108">
        <f t="shared" si="23"/>
        <v>8490.5757575758034</v>
      </c>
      <c r="O35" s="108">
        <f t="shared" si="23"/>
        <v>8490.5757575758034</v>
      </c>
      <c r="P35" s="108">
        <f t="shared" si="23"/>
        <v>-1509.4242424241966</v>
      </c>
      <c r="Q35" s="362">
        <f>SUM(E35:P35)</f>
        <v>3572.0000000004657</v>
      </c>
    </row>
    <row r="36" spans="1:17" x14ac:dyDescent="0.25">
      <c r="A36" s="36"/>
      <c r="B36" s="37"/>
      <c r="C36" s="342"/>
      <c r="D36" s="274" t="s">
        <v>310</v>
      </c>
      <c r="E36" s="108">
        <f>E35</f>
        <v>0</v>
      </c>
      <c r="F36" s="108">
        <f>E36+F35</f>
        <v>-38167.090909090883</v>
      </c>
      <c r="G36" s="108">
        <f t="shared" ref="G36:P36" si="24">F36+G35</f>
        <v>-42843.181818181765</v>
      </c>
      <c r="H36" s="108">
        <f t="shared" si="24"/>
        <v>-34352.606060605962</v>
      </c>
      <c r="I36" s="108">
        <f t="shared" si="24"/>
        <v>-25862.030303030158</v>
      </c>
      <c r="J36" s="108">
        <f t="shared" si="24"/>
        <v>-27371.454545454355</v>
      </c>
      <c r="K36" s="108">
        <f t="shared" si="24"/>
        <v>-18880.878787878552</v>
      </c>
      <c r="L36" s="108">
        <f t="shared" si="24"/>
        <v>-10390.303030302748</v>
      </c>
      <c r="M36" s="108">
        <f t="shared" si="24"/>
        <v>-11899.727272726945</v>
      </c>
      <c r="N36" s="108">
        <f t="shared" si="24"/>
        <v>-3409.1515151511412</v>
      </c>
      <c r="O36" s="108">
        <f t="shared" si="24"/>
        <v>5081.4242424246622</v>
      </c>
      <c r="P36" s="108">
        <f t="shared" si="24"/>
        <v>3572.0000000004657</v>
      </c>
      <c r="Q36" s="275"/>
    </row>
    <row r="37" spans="1:17" x14ac:dyDescent="0.25">
      <c r="A37" s="22" t="s">
        <v>32</v>
      </c>
      <c r="B37" s="23" t="str">
        <f>B1</f>
        <v>21-22</v>
      </c>
      <c r="C37" s="349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275"/>
    </row>
    <row r="38" spans="1:17" x14ac:dyDescent="0.25">
      <c r="A38" s="29" t="s">
        <v>33</v>
      </c>
      <c r="B38" s="31">
        <v>0</v>
      </c>
      <c r="C38" s="340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</row>
    <row r="39" spans="1:17" x14ac:dyDescent="0.25">
      <c r="A39" s="29" t="s">
        <v>34</v>
      </c>
      <c r="B39" s="31">
        <v>1</v>
      </c>
      <c r="C39" s="340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</row>
    <row r="40" spans="1:17" x14ac:dyDescent="0.25">
      <c r="A40" s="29" t="s">
        <v>35</v>
      </c>
      <c r="B40" s="31">
        <v>1</v>
      </c>
      <c r="C40" s="340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</row>
    <row r="41" spans="1:17" x14ac:dyDescent="0.25">
      <c r="A41" s="38" t="s">
        <v>36</v>
      </c>
      <c r="B41" s="31">
        <v>1</v>
      </c>
      <c r="C41" s="340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</row>
    <row r="42" spans="1:17" x14ac:dyDescent="0.25">
      <c r="A42" s="38" t="s">
        <v>37</v>
      </c>
      <c r="B42" s="31">
        <v>0</v>
      </c>
      <c r="C42" s="340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</row>
    <row r="43" spans="1:17" x14ac:dyDescent="0.25">
      <c r="A43" s="38" t="s">
        <v>38</v>
      </c>
      <c r="B43" s="31">
        <v>0</v>
      </c>
      <c r="C43" s="340"/>
    </row>
    <row r="44" spans="1:17" x14ac:dyDescent="0.25">
      <c r="A44" s="29" t="s">
        <v>39</v>
      </c>
      <c r="B44" s="31">
        <v>1</v>
      </c>
      <c r="C44" s="340"/>
    </row>
    <row r="45" spans="1:17" x14ac:dyDescent="0.25">
      <c r="A45" s="29" t="s">
        <v>40</v>
      </c>
      <c r="B45" s="31">
        <v>0</v>
      </c>
      <c r="C45" s="340"/>
    </row>
    <row r="46" spans="1:17" x14ac:dyDescent="0.25">
      <c r="A46" s="29" t="s">
        <v>41</v>
      </c>
      <c r="B46" s="31">
        <v>0</v>
      </c>
      <c r="C46" s="340"/>
    </row>
    <row r="47" spans="1:17" x14ac:dyDescent="0.25">
      <c r="A47" s="29" t="s">
        <v>42</v>
      </c>
      <c r="B47" s="31">
        <v>1</v>
      </c>
      <c r="C47" s="340"/>
    </row>
    <row r="48" spans="1:17" x14ac:dyDescent="0.25">
      <c r="A48" s="29" t="s">
        <v>43</v>
      </c>
      <c r="B48" s="31">
        <v>1</v>
      </c>
      <c r="C48" s="340"/>
    </row>
    <row r="49" spans="1:3" x14ac:dyDescent="0.25">
      <c r="A49" s="29" t="s">
        <v>44</v>
      </c>
      <c r="B49" s="31">
        <v>1</v>
      </c>
      <c r="C49" s="340"/>
    </row>
    <row r="50" spans="1:3" x14ac:dyDescent="0.25">
      <c r="A50" s="29" t="s">
        <v>45</v>
      </c>
      <c r="B50" s="31">
        <v>1</v>
      </c>
      <c r="C50" s="340"/>
    </row>
    <row r="51" spans="1:3" x14ac:dyDescent="0.25">
      <c r="A51" s="39" t="s">
        <v>46</v>
      </c>
      <c r="B51" s="31">
        <v>0</v>
      </c>
      <c r="C51" s="340"/>
    </row>
    <row r="52" spans="1:3" x14ac:dyDescent="0.25">
      <c r="A52" s="39" t="s">
        <v>47</v>
      </c>
      <c r="B52" s="31">
        <v>0</v>
      </c>
      <c r="C52" s="340"/>
    </row>
    <row r="53" spans="1:3" x14ac:dyDescent="0.25">
      <c r="A53" s="39" t="s">
        <v>48</v>
      </c>
      <c r="B53" s="31">
        <v>0</v>
      </c>
      <c r="C53" s="340"/>
    </row>
    <row r="54" spans="1:3" x14ac:dyDescent="0.25">
      <c r="A54" s="39" t="s">
        <v>49</v>
      </c>
      <c r="B54" s="31">
        <v>0</v>
      </c>
      <c r="C54" s="340"/>
    </row>
    <row r="55" spans="1:3" x14ac:dyDescent="0.25">
      <c r="A55" s="39" t="s">
        <v>50</v>
      </c>
      <c r="B55" s="31">
        <v>0</v>
      </c>
      <c r="C55" s="340"/>
    </row>
    <row r="56" spans="1:3" x14ac:dyDescent="0.25">
      <c r="A56" s="40"/>
      <c r="B56" s="41"/>
      <c r="C56" s="340"/>
    </row>
    <row r="57" spans="1:3" x14ac:dyDescent="0.25">
      <c r="A57" s="34" t="s">
        <v>51</v>
      </c>
      <c r="B57" s="42">
        <f t="shared" ref="B57" si="25">SUM(B38:B56)</f>
        <v>8</v>
      </c>
      <c r="C57" s="341"/>
    </row>
    <row r="58" spans="1:3" x14ac:dyDescent="0.25">
      <c r="A58" s="43"/>
      <c r="B58" s="44"/>
    </row>
    <row r="59" spans="1:3" x14ac:dyDescent="0.25">
      <c r="A59" s="45" t="s">
        <v>52</v>
      </c>
      <c r="B59" s="46">
        <f t="shared" ref="B59" si="26">B35</f>
        <v>28</v>
      </c>
      <c r="C59" s="352"/>
    </row>
    <row r="60" spans="1:3" ht="15.75" thickBot="1" x14ac:dyDescent="0.3">
      <c r="A60" s="47" t="s">
        <v>53</v>
      </c>
      <c r="B60" s="48">
        <f t="shared" ref="B60" si="27">B57</f>
        <v>8</v>
      </c>
      <c r="C60" s="352"/>
    </row>
    <row r="61" spans="1:3" x14ac:dyDescent="0.25">
      <c r="A61" s="49" t="s">
        <v>54</v>
      </c>
      <c r="B61" s="50">
        <f t="shared" ref="B61" si="28">SUM(B59:B60)</f>
        <v>36</v>
      </c>
      <c r="C61" s="352"/>
    </row>
    <row r="62" spans="1:3" x14ac:dyDescent="0.25">
      <c r="A62" s="39"/>
      <c r="B62" s="51"/>
    </row>
    <row r="63" spans="1:3" x14ac:dyDescent="0.25">
      <c r="A63" s="52" t="s">
        <v>55</v>
      </c>
      <c r="B63" s="53">
        <f>B112/(B157+B160+B161+B162)</f>
        <v>0.5251545772988101</v>
      </c>
      <c r="C63" s="344"/>
    </row>
    <row r="64" spans="1:3" x14ac:dyDescent="0.25">
      <c r="A64" s="36" t="s">
        <v>56</v>
      </c>
      <c r="B64" s="54">
        <f t="shared" ref="B64" si="29">(B90+B91)/B106</f>
        <v>0.76992753623188404</v>
      </c>
      <c r="C64" s="344"/>
    </row>
    <row r="65" spans="1:3" x14ac:dyDescent="0.25">
      <c r="A65" s="52" t="s">
        <v>57</v>
      </c>
      <c r="B65" s="53">
        <f t="shared" ref="B65" si="30">(B85+B86+B87+B88+B89+B92+B93+B94+B95+B99+B100+B101+B102+B105+B103+B104)/B106</f>
        <v>0.23007246376811594</v>
      </c>
      <c r="C65" s="344"/>
    </row>
    <row r="66" spans="1:3" x14ac:dyDescent="0.25">
      <c r="A66" s="36" t="s">
        <v>58</v>
      </c>
      <c r="B66" s="54">
        <f>(B160+B161+B162)/(B157+B160+B161+B162)</f>
        <v>0.18597538738219596</v>
      </c>
      <c r="C66" s="344"/>
    </row>
    <row r="67" spans="1:3" x14ac:dyDescent="0.25">
      <c r="A67" s="55"/>
      <c r="B67" s="56"/>
    </row>
    <row r="68" spans="1:3" x14ac:dyDescent="0.25">
      <c r="A68" s="57"/>
      <c r="B68" s="58"/>
    </row>
    <row r="69" spans="1:3" x14ac:dyDescent="0.25">
      <c r="A69" s="36" t="s">
        <v>59</v>
      </c>
      <c r="B69" s="59"/>
      <c r="C69" s="345"/>
    </row>
    <row r="70" spans="1:3" x14ac:dyDescent="0.25">
      <c r="A70" s="60" t="s">
        <v>60</v>
      </c>
      <c r="B70" s="61">
        <f>(B2*B3)*0.985</f>
        <v>4091847.6</v>
      </c>
      <c r="C70" s="62"/>
    </row>
    <row r="71" spans="1:3" x14ac:dyDescent="0.25">
      <c r="A71" s="39" t="s">
        <v>61</v>
      </c>
      <c r="B71" s="61">
        <f>((B16*B22)*3)*180</f>
        <v>292410</v>
      </c>
      <c r="C71" s="62"/>
    </row>
    <row r="72" spans="1:3" x14ac:dyDescent="0.25">
      <c r="A72" s="39" t="s">
        <v>63</v>
      </c>
      <c r="B72" s="61">
        <f>950*30</f>
        <v>28500</v>
      </c>
      <c r="C72" s="62"/>
    </row>
    <row r="73" spans="1:3" x14ac:dyDescent="0.25">
      <c r="A73" s="39" t="s">
        <v>64</v>
      </c>
      <c r="B73" s="61">
        <v>0</v>
      </c>
      <c r="C73" s="62"/>
    </row>
    <row r="74" spans="1:3" x14ac:dyDescent="0.25">
      <c r="A74" s="63" t="s">
        <v>65</v>
      </c>
      <c r="B74" s="61">
        <v>0</v>
      </c>
      <c r="C74" s="62"/>
    </row>
    <row r="75" spans="1:3" x14ac:dyDescent="0.25">
      <c r="A75" s="34" t="s">
        <v>66</v>
      </c>
      <c r="B75" s="19">
        <f t="shared" ref="B75" si="31">SUM(B70:B74)</f>
        <v>4412757.5999999996</v>
      </c>
      <c r="C75" s="62"/>
    </row>
    <row r="76" spans="1:3" x14ac:dyDescent="0.25">
      <c r="A76" s="60" t="s">
        <v>67</v>
      </c>
      <c r="B76" s="61">
        <f>(B2*B3)</f>
        <v>4154160</v>
      </c>
      <c r="C76" s="62"/>
    </row>
    <row r="77" spans="1:3" x14ac:dyDescent="0.25">
      <c r="A77" s="39" t="s">
        <v>68</v>
      </c>
      <c r="B77" s="61">
        <f t="shared" ref="B77:B80" si="32">B71</f>
        <v>292410</v>
      </c>
      <c r="C77" s="62"/>
    </row>
    <row r="78" spans="1:3" x14ac:dyDescent="0.25">
      <c r="A78" s="39" t="s">
        <v>69</v>
      </c>
      <c r="B78" s="61">
        <f t="shared" si="32"/>
        <v>28500</v>
      </c>
      <c r="C78" s="62"/>
    </row>
    <row r="79" spans="1:3" x14ac:dyDescent="0.25">
      <c r="A79" s="39" t="s">
        <v>64</v>
      </c>
      <c r="B79" s="61">
        <f t="shared" si="32"/>
        <v>0</v>
      </c>
      <c r="C79" s="62"/>
    </row>
    <row r="80" spans="1:3" x14ac:dyDescent="0.25">
      <c r="A80" s="63" t="s">
        <v>70</v>
      </c>
      <c r="B80" s="61">
        <f t="shared" si="32"/>
        <v>0</v>
      </c>
      <c r="C80" s="62"/>
    </row>
    <row r="81" spans="1:3" x14ac:dyDescent="0.25">
      <c r="A81" s="64" t="s">
        <v>71</v>
      </c>
      <c r="B81" s="19">
        <f t="shared" ref="B81" si="33">SUM(B76:B80)</f>
        <v>4475070</v>
      </c>
      <c r="C81" s="62"/>
    </row>
    <row r="82" spans="1:3" x14ac:dyDescent="0.25">
      <c r="A82" s="57"/>
      <c r="B82" s="58"/>
    </row>
    <row r="83" spans="1:3" x14ac:dyDescent="0.25">
      <c r="A83" s="36" t="s">
        <v>72</v>
      </c>
      <c r="B83" s="65"/>
      <c r="C83" s="346"/>
    </row>
    <row r="84" spans="1:3" x14ac:dyDescent="0.25">
      <c r="A84" s="66" t="s">
        <v>73</v>
      </c>
      <c r="B84" s="67" t="str">
        <f>B1</f>
        <v>21-22</v>
      </c>
      <c r="C84" s="347"/>
    </row>
    <row r="85" spans="1:3" x14ac:dyDescent="0.25">
      <c r="A85" s="39" t="s">
        <v>34</v>
      </c>
      <c r="B85" s="61">
        <f>100000*B39</f>
        <v>100000</v>
      </c>
      <c r="C85" s="62"/>
    </row>
    <row r="86" spans="1:3" x14ac:dyDescent="0.25">
      <c r="A86" s="39" t="s">
        <v>74</v>
      </c>
      <c r="B86" s="61">
        <f>75000</f>
        <v>75000</v>
      </c>
      <c r="C86" s="62"/>
    </row>
    <row r="87" spans="1:3" x14ac:dyDescent="0.25">
      <c r="A87" s="39" t="s">
        <v>36</v>
      </c>
      <c r="B87" s="61">
        <v>57000</v>
      </c>
      <c r="C87" s="62"/>
    </row>
    <row r="88" spans="1:3" x14ac:dyDescent="0.25">
      <c r="A88" s="39" t="s">
        <v>38</v>
      </c>
      <c r="B88" s="61">
        <v>0</v>
      </c>
      <c r="C88" s="62"/>
    </row>
    <row r="89" spans="1:3" x14ac:dyDescent="0.25">
      <c r="A89" s="39" t="s">
        <v>75</v>
      </c>
      <c r="B89" s="61">
        <v>0</v>
      </c>
      <c r="C89" s="62"/>
    </row>
    <row r="90" spans="1:3" x14ac:dyDescent="0.25">
      <c r="A90" s="39" t="s">
        <v>76</v>
      </c>
      <c r="B90" s="61">
        <f>(B35-B26)*42500</f>
        <v>1062500</v>
      </c>
      <c r="C90" s="62"/>
    </row>
    <row r="91" spans="1:3" x14ac:dyDescent="0.25">
      <c r="A91" s="39" t="s">
        <v>22</v>
      </c>
      <c r="B91" s="61">
        <f>B26*42500</f>
        <v>127500</v>
      </c>
      <c r="C91" s="62"/>
    </row>
    <row r="92" spans="1:3" x14ac:dyDescent="0.25">
      <c r="A92" s="39" t="s">
        <v>77</v>
      </c>
      <c r="B92" s="61">
        <f>40000</f>
        <v>40000</v>
      </c>
      <c r="C92" s="62"/>
    </row>
    <row r="93" spans="1:3" x14ac:dyDescent="0.25">
      <c r="A93" s="39" t="s">
        <v>78</v>
      </c>
      <c r="B93" s="61">
        <f>(13*8*190)*(B46+B47)</f>
        <v>19760</v>
      </c>
      <c r="C93" s="62"/>
    </row>
    <row r="94" spans="1:3" x14ac:dyDescent="0.25">
      <c r="A94" s="39" t="s">
        <v>79</v>
      </c>
      <c r="B94" s="61">
        <f>(13*8*180)*B48</f>
        <v>18720</v>
      </c>
      <c r="C94" s="62"/>
    </row>
    <row r="95" spans="1:3" x14ac:dyDescent="0.25">
      <c r="A95" s="39" t="s">
        <v>80</v>
      </c>
      <c r="B95" s="61">
        <f>((13*8*240)*B49)</f>
        <v>24960</v>
      </c>
      <c r="C95" s="62"/>
    </row>
    <row r="96" spans="1:3" x14ac:dyDescent="0.25">
      <c r="A96" s="68" t="s">
        <v>81</v>
      </c>
      <c r="B96" s="69">
        <f>SUM(B85:B95)</f>
        <v>1525440</v>
      </c>
      <c r="C96" s="353"/>
    </row>
    <row r="97" spans="1:3" x14ac:dyDescent="0.25">
      <c r="A97" s="39"/>
      <c r="B97" s="21"/>
      <c r="C97" s="62"/>
    </row>
    <row r="98" spans="1:3" x14ac:dyDescent="0.25">
      <c r="A98" s="68" t="s">
        <v>82</v>
      </c>
      <c r="B98" s="70"/>
      <c r="C98" s="62"/>
    </row>
    <row r="99" spans="1:3" x14ac:dyDescent="0.25">
      <c r="A99" s="39" t="s">
        <v>46</v>
      </c>
      <c r="B99" s="61">
        <v>0</v>
      </c>
      <c r="C99" s="62"/>
    </row>
    <row r="100" spans="1:3" x14ac:dyDescent="0.25">
      <c r="A100" s="39" t="s">
        <v>47</v>
      </c>
      <c r="B100" s="61">
        <v>0</v>
      </c>
      <c r="C100" s="62"/>
    </row>
    <row r="101" spans="1:3" x14ac:dyDescent="0.25">
      <c r="A101" s="39" t="s">
        <v>48</v>
      </c>
      <c r="B101" s="61">
        <v>0</v>
      </c>
      <c r="C101" s="62"/>
    </row>
    <row r="102" spans="1:3" x14ac:dyDescent="0.25">
      <c r="A102" s="39" t="s">
        <v>49</v>
      </c>
      <c r="B102" s="61">
        <v>0</v>
      </c>
      <c r="C102" s="62"/>
    </row>
    <row r="103" spans="1:3" x14ac:dyDescent="0.25">
      <c r="A103" s="39" t="s">
        <v>83</v>
      </c>
      <c r="B103" s="61">
        <v>0</v>
      </c>
      <c r="C103" s="62"/>
    </row>
    <row r="104" spans="1:3" x14ac:dyDescent="0.25">
      <c r="A104" s="39" t="s">
        <v>84</v>
      </c>
      <c r="B104" s="61">
        <f>(14*8*180)*B50</f>
        <v>20160</v>
      </c>
      <c r="C104" s="62"/>
    </row>
    <row r="105" spans="1:3" x14ac:dyDescent="0.25">
      <c r="A105" s="39" t="s">
        <v>85</v>
      </c>
      <c r="B105" s="61">
        <v>0</v>
      </c>
      <c r="C105" s="62"/>
    </row>
    <row r="106" spans="1:3" x14ac:dyDescent="0.25">
      <c r="A106" s="71" t="s">
        <v>86</v>
      </c>
      <c r="B106" s="72">
        <f>SUM(B99:B105)+B96</f>
        <v>1545600</v>
      </c>
      <c r="C106" s="353"/>
    </row>
    <row r="107" spans="1:3" x14ac:dyDescent="0.25">
      <c r="A107" s="39" t="s">
        <v>87</v>
      </c>
      <c r="B107" s="61">
        <f t="shared" ref="B107" si="34">B106*0.2925</f>
        <v>452088</v>
      </c>
      <c r="C107" s="62"/>
    </row>
    <row r="108" spans="1:3" x14ac:dyDescent="0.25">
      <c r="A108" s="39" t="s">
        <v>88</v>
      </c>
      <c r="B108" s="61">
        <f>B106*0.1725</f>
        <v>266616</v>
      </c>
      <c r="C108" s="62"/>
    </row>
    <row r="109" spans="1:3" x14ac:dyDescent="0.25">
      <c r="A109" s="39" t="s">
        <v>89</v>
      </c>
      <c r="B109" s="61">
        <v>0</v>
      </c>
      <c r="C109" s="62"/>
    </row>
    <row r="110" spans="1:3" x14ac:dyDescent="0.25">
      <c r="A110" s="39" t="s">
        <v>90</v>
      </c>
      <c r="B110" s="61">
        <v>5000</v>
      </c>
      <c r="C110" s="62"/>
    </row>
    <row r="111" spans="1:3" x14ac:dyDescent="0.25">
      <c r="A111" s="39" t="s">
        <v>91</v>
      </c>
      <c r="B111" s="61">
        <f t="shared" ref="B111" si="35">(B35*10*165)-B105</f>
        <v>46200</v>
      </c>
      <c r="C111" s="62"/>
    </row>
    <row r="112" spans="1:3" x14ac:dyDescent="0.25">
      <c r="A112" s="73" t="s">
        <v>92</v>
      </c>
      <c r="B112" s="19">
        <f t="shared" ref="B112" si="36">SUM(B106:B111)</f>
        <v>2315504</v>
      </c>
      <c r="C112" s="62"/>
    </row>
    <row r="113" spans="1:3" x14ac:dyDescent="0.25">
      <c r="A113" s="74" t="s">
        <v>93</v>
      </c>
      <c r="B113" s="67" t="str">
        <f>B1</f>
        <v>21-22</v>
      </c>
      <c r="C113" s="347"/>
    </row>
    <row r="114" spans="1:3" x14ac:dyDescent="0.25">
      <c r="A114" s="75" t="s">
        <v>94</v>
      </c>
      <c r="B114" s="61">
        <f>(100*B16)*0.25</f>
        <v>14250</v>
      </c>
      <c r="C114" s="62"/>
    </row>
    <row r="115" spans="1:3" x14ac:dyDescent="0.25">
      <c r="A115" s="39" t="s">
        <v>95</v>
      </c>
      <c r="B115" s="61">
        <v>110000</v>
      </c>
      <c r="C115" s="62"/>
    </row>
    <row r="116" spans="1:3" x14ac:dyDescent="0.25">
      <c r="A116" s="36" t="s">
        <v>96</v>
      </c>
      <c r="B116" s="61">
        <f t="shared" ref="B116" si="37">13*B16</f>
        <v>7410</v>
      </c>
      <c r="C116" s="62"/>
    </row>
    <row r="117" spans="1:3" x14ac:dyDescent="0.25">
      <c r="A117" s="39" t="s">
        <v>97</v>
      </c>
      <c r="B117" s="61">
        <f t="shared" ref="B117" si="38">27*B16</f>
        <v>15390</v>
      </c>
      <c r="C117" s="62"/>
    </row>
    <row r="118" spans="1:3" x14ac:dyDescent="0.25">
      <c r="A118" s="39" t="s">
        <v>98</v>
      </c>
      <c r="B118" s="61">
        <f t="shared" ref="B118" si="39">4*B16</f>
        <v>2280</v>
      </c>
      <c r="C118" s="62"/>
    </row>
    <row r="119" spans="1:3" x14ac:dyDescent="0.25">
      <c r="A119" s="39" t="s">
        <v>99</v>
      </c>
      <c r="B119" s="61">
        <f>3*B16</f>
        <v>1710</v>
      </c>
      <c r="C119" s="62"/>
    </row>
    <row r="120" spans="1:3" x14ac:dyDescent="0.25">
      <c r="A120" s="39" t="s">
        <v>100</v>
      </c>
      <c r="B120" s="61">
        <f t="shared" ref="B120" si="40">120*B19</f>
        <v>8207.9999999999982</v>
      </c>
      <c r="C120" s="62"/>
    </row>
    <row r="121" spans="1:3" x14ac:dyDescent="0.25">
      <c r="A121" s="39" t="s">
        <v>101</v>
      </c>
      <c r="B121" s="61">
        <v>1000</v>
      </c>
      <c r="C121" s="62"/>
    </row>
    <row r="122" spans="1:3" x14ac:dyDescent="0.25">
      <c r="A122" s="39" t="s">
        <v>102</v>
      </c>
      <c r="B122" s="61">
        <v>5000</v>
      </c>
      <c r="C122" s="62"/>
    </row>
    <row r="123" spans="1:3" x14ac:dyDescent="0.25">
      <c r="A123" s="39" t="s">
        <v>61</v>
      </c>
      <c r="B123" s="61">
        <f>((B16*B22)*2.5)*180</f>
        <v>243675</v>
      </c>
      <c r="C123" s="62"/>
    </row>
    <row r="124" spans="1:3" x14ac:dyDescent="0.25">
      <c r="A124" s="39" t="s">
        <v>103</v>
      </c>
      <c r="B124" s="61">
        <v>2000</v>
      </c>
      <c r="C124" s="62"/>
    </row>
    <row r="125" spans="1:3" x14ac:dyDescent="0.25">
      <c r="A125" s="39" t="s">
        <v>104</v>
      </c>
      <c r="B125" s="61">
        <f>175*B16</f>
        <v>99750</v>
      </c>
      <c r="C125" s="62"/>
    </row>
    <row r="126" spans="1:3" x14ac:dyDescent="0.25">
      <c r="A126" s="39" t="s">
        <v>105</v>
      </c>
      <c r="B126" s="61">
        <v>0</v>
      </c>
      <c r="C126" s="62"/>
    </row>
    <row r="127" spans="1:3" x14ac:dyDescent="0.25">
      <c r="A127" s="39" t="s">
        <v>106</v>
      </c>
      <c r="B127" s="61">
        <f>450*B16</f>
        <v>256500</v>
      </c>
      <c r="C127" s="62"/>
    </row>
    <row r="128" spans="1:3" x14ac:dyDescent="0.25">
      <c r="A128" s="39" t="s">
        <v>107</v>
      </c>
      <c r="B128" s="21">
        <f t="shared" ref="B128" si="41">(240*B61)+2000</f>
        <v>10640</v>
      </c>
      <c r="C128" s="62"/>
    </row>
    <row r="129" spans="1:3" x14ac:dyDescent="0.25">
      <c r="A129" s="39" t="s">
        <v>108</v>
      </c>
      <c r="B129" s="61">
        <v>0</v>
      </c>
      <c r="C129" s="62"/>
    </row>
    <row r="130" spans="1:3" x14ac:dyDescent="0.25">
      <c r="A130" s="39" t="s">
        <v>109</v>
      </c>
      <c r="B130" s="61">
        <v>5000</v>
      </c>
      <c r="C130" s="62"/>
    </row>
    <row r="131" spans="1:3" x14ac:dyDescent="0.25">
      <c r="A131" s="36" t="s">
        <v>110</v>
      </c>
      <c r="B131" s="61">
        <f t="shared" ref="B131" si="42">B16*42</f>
        <v>23940</v>
      </c>
      <c r="C131" s="62"/>
    </row>
    <row r="132" spans="1:3" x14ac:dyDescent="0.25">
      <c r="A132" s="39" t="s">
        <v>111</v>
      </c>
      <c r="B132" s="61">
        <v>15000</v>
      </c>
      <c r="C132" s="62"/>
    </row>
    <row r="133" spans="1:3" x14ac:dyDescent="0.25">
      <c r="A133" s="39" t="s">
        <v>112</v>
      </c>
      <c r="B133" s="61">
        <v>4000</v>
      </c>
      <c r="C133" s="62"/>
    </row>
    <row r="134" spans="1:3" x14ac:dyDescent="0.25">
      <c r="A134" s="39" t="s">
        <v>113</v>
      </c>
      <c r="B134" s="61">
        <v>50000</v>
      </c>
      <c r="C134" s="62"/>
    </row>
    <row r="135" spans="1:3" x14ac:dyDescent="0.25">
      <c r="A135" s="39" t="s">
        <v>114</v>
      </c>
      <c r="B135" s="61">
        <v>4000</v>
      </c>
      <c r="C135" s="62"/>
    </row>
    <row r="136" spans="1:3" x14ac:dyDescent="0.25">
      <c r="A136" s="39" t="s">
        <v>115</v>
      </c>
      <c r="B136" s="61">
        <f>B76*0.0125</f>
        <v>51927</v>
      </c>
      <c r="C136" s="62"/>
    </row>
    <row r="137" spans="1:3" x14ac:dyDescent="0.25">
      <c r="A137" s="39" t="s">
        <v>116</v>
      </c>
      <c r="B137" s="61">
        <f t="shared" ref="B137" si="43">B76*0.005</f>
        <v>20770.8</v>
      </c>
      <c r="C137" s="62"/>
    </row>
    <row r="138" spans="1:3" x14ac:dyDescent="0.25">
      <c r="A138" s="39" t="s">
        <v>117</v>
      </c>
      <c r="B138" s="61">
        <f t="shared" ref="B138" si="44">B76*0.005</f>
        <v>20770.8</v>
      </c>
      <c r="C138" s="62"/>
    </row>
    <row r="139" spans="1:3" x14ac:dyDescent="0.25">
      <c r="A139" s="39" t="s">
        <v>118</v>
      </c>
      <c r="B139" s="61">
        <v>25000</v>
      </c>
      <c r="C139" s="62"/>
    </row>
    <row r="140" spans="1:3" x14ac:dyDescent="0.25">
      <c r="A140" s="39" t="s">
        <v>119</v>
      </c>
      <c r="B140" s="61">
        <v>1250</v>
      </c>
      <c r="C140" s="62"/>
    </row>
    <row r="141" spans="1:3" x14ac:dyDescent="0.25">
      <c r="A141" s="39" t="s">
        <v>120</v>
      </c>
      <c r="B141" s="61">
        <f>70*B61</f>
        <v>2520</v>
      </c>
      <c r="C141" s="62"/>
    </row>
    <row r="142" spans="1:3" x14ac:dyDescent="0.25">
      <c r="A142" s="39" t="s">
        <v>121</v>
      </c>
      <c r="B142" s="61">
        <v>40000</v>
      </c>
      <c r="C142" s="62"/>
    </row>
    <row r="143" spans="1:3" x14ac:dyDescent="0.25">
      <c r="A143" s="39" t="s">
        <v>122</v>
      </c>
      <c r="B143" s="61">
        <v>0</v>
      </c>
      <c r="C143" s="62"/>
    </row>
    <row r="144" spans="1:3" x14ac:dyDescent="0.25">
      <c r="A144" s="39" t="s">
        <v>123</v>
      </c>
      <c r="B144" s="61">
        <f>12500</f>
        <v>12500</v>
      </c>
      <c r="C144" s="62"/>
    </row>
    <row r="145" spans="1:3" x14ac:dyDescent="0.25">
      <c r="A145" s="39" t="s">
        <v>124</v>
      </c>
      <c r="B145" s="61">
        <v>1000</v>
      </c>
      <c r="C145" s="62"/>
    </row>
    <row r="146" spans="1:3" x14ac:dyDescent="0.25">
      <c r="A146" s="73" t="s">
        <v>125</v>
      </c>
      <c r="B146" s="19">
        <f t="shared" ref="B146" si="45">SUM(B114:B145)</f>
        <v>1055491.6000000001</v>
      </c>
      <c r="C146" s="62"/>
    </row>
    <row r="147" spans="1:3" x14ac:dyDescent="0.25">
      <c r="A147" s="76" t="s">
        <v>126</v>
      </c>
      <c r="B147" s="77" t="str">
        <f>B1</f>
        <v>21-22</v>
      </c>
      <c r="C147" s="347"/>
    </row>
    <row r="148" spans="1:3" x14ac:dyDescent="0.25">
      <c r="A148" s="39" t="s">
        <v>127</v>
      </c>
      <c r="B148" s="61">
        <f>(1.75*65000)*0.8</f>
        <v>91000</v>
      </c>
      <c r="C148" s="62"/>
    </row>
    <row r="149" spans="1:3" x14ac:dyDescent="0.25">
      <c r="A149" s="39" t="s">
        <v>128</v>
      </c>
      <c r="B149" s="61">
        <v>8000</v>
      </c>
      <c r="C149" s="62"/>
    </row>
    <row r="150" spans="1:3" x14ac:dyDescent="0.25">
      <c r="A150" s="39" t="s">
        <v>129</v>
      </c>
      <c r="B150" s="61">
        <f>(0.11*65000*12)*0.8</f>
        <v>68640</v>
      </c>
      <c r="C150" s="62"/>
    </row>
    <row r="151" spans="1:3" x14ac:dyDescent="0.25">
      <c r="A151" s="39" t="s">
        <v>130</v>
      </c>
      <c r="B151" s="61">
        <f t="shared" ref="B151" si="46">B16*15</f>
        <v>8550</v>
      </c>
      <c r="C151" s="62"/>
    </row>
    <row r="152" spans="1:3" x14ac:dyDescent="0.25">
      <c r="A152" s="39" t="s">
        <v>131</v>
      </c>
      <c r="B152" s="61">
        <v>20000</v>
      </c>
      <c r="C152" s="62"/>
    </row>
    <row r="153" spans="1:3" x14ac:dyDescent="0.25">
      <c r="A153" s="39" t="s">
        <v>132</v>
      </c>
      <c r="B153" s="61">
        <f>1000*12</f>
        <v>12000</v>
      </c>
      <c r="C153" s="62"/>
    </row>
    <row r="154" spans="1:3" x14ac:dyDescent="0.25">
      <c r="A154" s="39" t="s">
        <v>133</v>
      </c>
      <c r="B154" s="61">
        <v>10000</v>
      </c>
      <c r="C154" s="62"/>
    </row>
    <row r="155" spans="1:3" x14ac:dyDescent="0.25">
      <c r="A155" s="73" t="s">
        <v>125</v>
      </c>
      <c r="B155" s="19">
        <f t="shared" ref="B155" si="47">SUM(B148:B154)</f>
        <v>218190</v>
      </c>
      <c r="C155" s="62"/>
    </row>
    <row r="156" spans="1:3" ht="15.75" thickBot="1" x14ac:dyDescent="0.3">
      <c r="A156" s="78"/>
      <c r="B156" s="79"/>
    </row>
    <row r="157" spans="1:3" ht="15.75" thickBot="1" x14ac:dyDescent="0.3">
      <c r="A157" s="80" t="s">
        <v>134</v>
      </c>
      <c r="B157" s="81">
        <f t="shared" ref="B157" si="48">B155+B146+B112</f>
        <v>3589185.6</v>
      </c>
      <c r="C157" s="348"/>
    </row>
    <row r="158" spans="1:3" ht="15.75" thickBot="1" x14ac:dyDescent="0.3">
      <c r="A158" s="82"/>
      <c r="B158" s="79"/>
    </row>
    <row r="159" spans="1:3" x14ac:dyDescent="0.25">
      <c r="A159" s="83"/>
      <c r="B159" s="58"/>
    </row>
    <row r="160" spans="1:3" x14ac:dyDescent="0.25">
      <c r="A160" s="84" t="s">
        <v>135</v>
      </c>
      <c r="B160" s="61">
        <v>820000</v>
      </c>
      <c r="C160" s="62"/>
    </row>
    <row r="161" spans="1:3" x14ac:dyDescent="0.25">
      <c r="A161" s="84" t="s">
        <v>136</v>
      </c>
      <c r="B161" s="61">
        <v>0</v>
      </c>
      <c r="C161" s="62"/>
    </row>
    <row r="162" spans="1:3" x14ac:dyDescent="0.25">
      <c r="A162" s="84" t="s">
        <v>137</v>
      </c>
      <c r="B162" s="61"/>
      <c r="C162" s="62"/>
    </row>
    <row r="163" spans="1:3" ht="15.75" thickBot="1" x14ac:dyDescent="0.3">
      <c r="A163" s="85"/>
      <c r="B163" s="79"/>
    </row>
    <row r="164" spans="1:3" x14ac:dyDescent="0.25">
      <c r="A164" s="83"/>
      <c r="B164" s="58"/>
    </row>
    <row r="165" spans="1:3" x14ac:dyDescent="0.25">
      <c r="A165" s="86" t="s">
        <v>138</v>
      </c>
      <c r="B165" s="8">
        <f t="shared" ref="B165" si="49">B75-B157-B160-B161-B162</f>
        <v>3571.9999999995343</v>
      </c>
      <c r="C165" s="348"/>
    </row>
    <row r="166" spans="1:3" ht="15.75" thickBot="1" x14ac:dyDescent="0.3">
      <c r="A166" s="85"/>
      <c r="B166" s="79"/>
    </row>
    <row r="167" spans="1:3" x14ac:dyDescent="0.25">
      <c r="B167" s="87">
        <f t="shared" ref="B167" si="50">B165/B75</f>
        <v>8.0947115699251976E-4</v>
      </c>
      <c r="C167" s="354"/>
    </row>
    <row r="168" spans="1:3" x14ac:dyDescent="0.25">
      <c r="A168" s="88" t="str">
        <f>A1</f>
        <v>CIVICA NV</v>
      </c>
      <c r="B168" s="88" t="str">
        <f>B1</f>
        <v>21-22</v>
      </c>
      <c r="C168" s="4"/>
    </row>
    <row r="171" spans="1:3" x14ac:dyDescent="0.25">
      <c r="A171" s="89" t="s">
        <v>139</v>
      </c>
      <c r="B171" s="90">
        <f t="shared" ref="B171" si="51">B75-B157</f>
        <v>823571.99999999953</v>
      </c>
      <c r="C171" s="348"/>
    </row>
    <row r="173" spans="1:3" x14ac:dyDescent="0.25">
      <c r="A173" s="92" t="s">
        <v>140</v>
      </c>
      <c r="B173" s="93">
        <f>B161</f>
        <v>0</v>
      </c>
      <c r="C173" s="62"/>
    </row>
    <row r="174" spans="1:3" x14ac:dyDescent="0.25">
      <c r="A174" s="92" t="s">
        <v>141</v>
      </c>
      <c r="B174" s="93">
        <v>0</v>
      </c>
      <c r="C174" s="62"/>
    </row>
    <row r="175" spans="1:3" x14ac:dyDescent="0.25">
      <c r="A175" s="94" t="s">
        <v>142</v>
      </c>
      <c r="B175" s="93">
        <f>B160</f>
        <v>820000</v>
      </c>
      <c r="C175" s="62"/>
    </row>
    <row r="176" spans="1:3" x14ac:dyDescent="0.25">
      <c r="A176" s="95" t="s">
        <v>143</v>
      </c>
      <c r="B176" s="96">
        <f t="shared" ref="B176" si="52">SUM(B173:B175)</f>
        <v>820000</v>
      </c>
      <c r="C176" s="62"/>
    </row>
    <row r="178" spans="1:3" x14ac:dyDescent="0.25">
      <c r="A178" s="89" t="s">
        <v>144</v>
      </c>
      <c r="B178" s="97">
        <f t="shared" ref="B178" si="53">B171/B176</f>
        <v>1.0043560975609751</v>
      </c>
      <c r="C178" s="355"/>
    </row>
    <row r="180" spans="1:3" x14ac:dyDescent="0.25">
      <c r="A180" s="98" t="s">
        <v>145</v>
      </c>
      <c r="B180" s="98"/>
      <c r="C180" s="356"/>
    </row>
    <row r="181" spans="1:3" x14ac:dyDescent="0.25">
      <c r="A181" s="92" t="s">
        <v>146</v>
      </c>
      <c r="B181" s="99">
        <v>0</v>
      </c>
      <c r="C181" s="357"/>
    </row>
    <row r="182" spans="1:3" x14ac:dyDescent="0.25">
      <c r="A182" s="101" t="s">
        <v>147</v>
      </c>
      <c r="B182" s="100">
        <v>0</v>
      </c>
      <c r="C182" s="357"/>
    </row>
    <row r="183" spans="1:3" x14ac:dyDescent="0.25">
      <c r="A183" s="101" t="s">
        <v>148</v>
      </c>
      <c r="B183" s="100">
        <f t="shared" ref="B183" si="54">B165</f>
        <v>3571.9999999995343</v>
      </c>
      <c r="C183" s="357"/>
    </row>
    <row r="184" spans="1:3" x14ac:dyDescent="0.25">
      <c r="A184" s="102" t="s">
        <v>149</v>
      </c>
      <c r="B184" s="103">
        <f>B181+B182+B183</f>
        <v>3571.9999999995343</v>
      </c>
      <c r="C184" s="358"/>
    </row>
    <row r="185" spans="1:3" x14ac:dyDescent="0.25">
      <c r="A185" s="89" t="s">
        <v>150</v>
      </c>
      <c r="B185" s="97">
        <f>B184/((B157+B160+B161+B162)/365)</f>
        <v>0.29569632995259493</v>
      </c>
      <c r="C185" s="355"/>
    </row>
    <row r="188" spans="1:3" x14ac:dyDescent="0.25">
      <c r="A188" s="104" t="s">
        <v>151</v>
      </c>
      <c r="B188" s="105">
        <f t="shared" ref="B188" si="55">B106/SUM(B157:B162)</f>
        <v>0.35054092529014885</v>
      </c>
      <c r="C188" s="359"/>
    </row>
    <row r="189" spans="1:3" x14ac:dyDescent="0.25">
      <c r="A189" s="104" t="s">
        <v>152</v>
      </c>
      <c r="B189" s="105">
        <f t="shared" ref="B189" si="56">SUM(B107:B109)/SUM(B157:B162)</f>
        <v>0.1630015302599192</v>
      </c>
      <c r="C189" s="359"/>
    </row>
    <row r="190" spans="1:3" x14ac:dyDescent="0.25">
      <c r="A190" s="104" t="s">
        <v>107</v>
      </c>
      <c r="B190" s="105">
        <f t="shared" ref="B190" si="57">B128/SUM(B157:B162)</f>
        <v>2.413144050910445E-3</v>
      </c>
      <c r="C190" s="359"/>
    </row>
    <row r="191" spans="1:3" x14ac:dyDescent="0.25">
      <c r="A191" s="104" t="s">
        <v>153</v>
      </c>
      <c r="B191" s="105">
        <f t="shared" ref="B191" si="58">(B127+B137+B138)/SUM(B157:B162)</f>
        <v>6.7595612214645717E-2</v>
      </c>
      <c r="C191" s="359"/>
    </row>
    <row r="192" spans="1:3" x14ac:dyDescent="0.25">
      <c r="A192" s="104" t="s">
        <v>154</v>
      </c>
      <c r="B192" s="105">
        <f t="shared" ref="B192" si="59">(B125+B111+B126)/SUM(B157:B162)</f>
        <v>3.3101350961501824E-2</v>
      </c>
      <c r="C192" s="359"/>
    </row>
    <row r="193" spans="1:3" x14ac:dyDescent="0.25">
      <c r="A193" s="104" t="s">
        <v>155</v>
      </c>
      <c r="B193" s="105">
        <f t="shared" ref="B193" si="60">(B115+B134)/SUM(B157:B162)</f>
        <v>3.628788046481872E-2</v>
      </c>
      <c r="C193" s="359"/>
    </row>
    <row r="194" spans="1:3" x14ac:dyDescent="0.25">
      <c r="A194" s="104" t="s">
        <v>156</v>
      </c>
      <c r="B194" s="105">
        <f t="shared" ref="B194" si="61">(B114+B116+B117+B118+B119+B120)/SUM(B157:B162)</f>
        <v>1.1169409607071202E-2</v>
      </c>
      <c r="C194" s="359"/>
    </row>
    <row r="195" spans="1:3" x14ac:dyDescent="0.25">
      <c r="A195" s="104" t="s">
        <v>157</v>
      </c>
      <c r="B195" s="105">
        <f t="shared" ref="B195" si="62">(SUM(B160:B162)+B142+B155)/SUM(B157:B162)</f>
        <v>0.24453268648976811</v>
      </c>
      <c r="C195" s="359"/>
    </row>
    <row r="196" spans="1:3" x14ac:dyDescent="0.25">
      <c r="A196" s="104" t="s">
        <v>68</v>
      </c>
      <c r="B196" s="105">
        <f>(B123)/SUM(B157:B162)</f>
        <v>5.5265307951654387E-2</v>
      </c>
      <c r="C196" s="359"/>
    </row>
    <row r="197" spans="1:3" x14ac:dyDescent="0.25">
      <c r="A197" s="104" t="s">
        <v>101</v>
      </c>
      <c r="B197" s="105">
        <f t="shared" ref="B197" si="63">(B121)/SUM(B157:B162)</f>
        <v>2.2679925290511701E-4</v>
      </c>
      <c r="C197" s="359"/>
    </row>
    <row r="198" spans="1:3" x14ac:dyDescent="0.25">
      <c r="A198" s="104" t="s">
        <v>158</v>
      </c>
      <c r="B198" s="105">
        <f t="shared" ref="B198" si="64">B124/SUM(B157:B162)</f>
        <v>4.5359850581023402E-4</v>
      </c>
      <c r="C198" s="359"/>
    </row>
    <row r="199" spans="1:3" x14ac:dyDescent="0.25">
      <c r="A199" s="104" t="s">
        <v>159</v>
      </c>
      <c r="B199" s="105">
        <f t="shared" ref="B199" si="65">(B129+B130)/SUM(B157:B162)</f>
        <v>1.133996264525585E-3</v>
      </c>
      <c r="C199" s="359"/>
    </row>
    <row r="200" spans="1:3" x14ac:dyDescent="0.25">
      <c r="A200" s="104" t="s">
        <v>160</v>
      </c>
      <c r="B200" s="105">
        <f t="shared" ref="B200" si="66">(B131+B132+B133+B135+B139)/SUM(B157:B162)</f>
        <v>1.6315938253994116E-2</v>
      </c>
      <c r="C200" s="359"/>
    </row>
    <row r="201" spans="1:3" x14ac:dyDescent="0.25">
      <c r="A201" s="104" t="s">
        <v>161</v>
      </c>
      <c r="B201" s="105">
        <f t="shared" ref="B201" si="67">(B110+B122+B136+B140+B141+B144+B145+B143)/SUM(B157:B162)</f>
        <v>1.7961820432326553E-2</v>
      </c>
      <c r="C201" s="359"/>
    </row>
    <row r="202" spans="1:3" x14ac:dyDescent="0.25">
      <c r="A202"/>
      <c r="B202"/>
      <c r="C202" s="360"/>
    </row>
    <row r="203" spans="1:3" x14ac:dyDescent="0.25">
      <c r="A203"/>
      <c r="B203" s="107">
        <f>SUM(B188:B202)</f>
        <v>1.0000000000000002</v>
      </c>
      <c r="C203" s="361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15" ma:contentTypeDescription="Create a new document." ma:contentTypeScope="" ma:versionID="63835a0702f433eed783fc2e4c957c80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937eab7a69f6fef723c7e144725fdd8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0D5630-27F4-4839-9D21-6C40BEF8BF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985A38-197A-4C03-A575-69EE220FCE5D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edb173ee-3fb8-4f75-bf43-79a22ca96f2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9224003f-e6e7-470a-941a-44de5661888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8F7DF63-120B-45FE-B6A4-199829DAB4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CF Y1 Mo</vt:lpstr>
      <vt:lpstr>CIVICA BUDGET V. WORKBOOK COMP</vt:lpstr>
      <vt:lpstr>Cash Flow - ref. A21</vt:lpstr>
      <vt:lpstr>HypLink5</vt:lpstr>
      <vt:lpstr>'CF Y1 Mo'!Print_Area</vt:lpstr>
      <vt:lpstr>'CIVICA BUDGET V. WORKBOOK COMP'!Print_Area</vt:lpstr>
      <vt:lpstr>'CF Y1 Mo'!Print_Titles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Padron</dc:creator>
  <cp:lastModifiedBy>Danny Peltier</cp:lastModifiedBy>
  <dcterms:created xsi:type="dcterms:W3CDTF">2020-03-31T22:33:31Z</dcterms:created>
  <dcterms:modified xsi:type="dcterms:W3CDTF">2020-05-22T16:49:29Z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</Properties>
</file>