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Admin\2019-2020 ACADEMIC YEAR\Facilities\"/>
    </mc:Choice>
  </mc:AlternateContent>
  <bookViews>
    <workbookView xWindow="0" yWindow="0" windowWidth="25200" windowHeight="11925"/>
  </bookViews>
  <sheets>
    <sheet name="RFA Cover &amp; Cklst" sheetId="1" r:id="rId1"/>
    <sheet name="Pro Forma" sheetId="2" r:id="rId2"/>
    <sheet name="Profile" sheetId="3" r:id="rId3"/>
  </sheets>
  <definedNames>
    <definedName name="OLE_LINK3" localSheetId="0">'RFA Cover &amp; Cklst'!$M$20</definedName>
    <definedName name="_xlnm.Print_Area" localSheetId="1">'Pro Forma'!$A$1:$K$69</definedName>
    <definedName name="_xlnm.Print_Area" localSheetId="2">Profile!$A$1:$M$52</definedName>
    <definedName name="_xlnm.Print_Area" localSheetId="0">'RFA Cover &amp; Cklst'!$A$1:$N$81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2" l="1"/>
  <c r="J24" i="2"/>
  <c r="I24" i="2"/>
  <c r="C14" i="3" l="1"/>
  <c r="E24" i="2" l="1"/>
  <c r="E25" i="2" s="1"/>
  <c r="E27" i="2" s="1"/>
  <c r="D24" i="2" l="1"/>
  <c r="D14" i="2"/>
  <c r="C49" i="2" l="1"/>
  <c r="A2" i="2"/>
  <c r="C66" i="1" l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E63" i="2"/>
  <c r="D63" i="2"/>
  <c r="K56" i="2"/>
  <c r="J56" i="2"/>
  <c r="I56" i="2"/>
  <c r="H56" i="2"/>
  <c r="G56" i="2"/>
  <c r="F56" i="2"/>
  <c r="E56" i="2"/>
  <c r="K55" i="2"/>
  <c r="J55" i="2"/>
  <c r="I55" i="2"/>
  <c r="H55" i="2"/>
  <c r="G55" i="2"/>
  <c r="F55" i="2"/>
  <c r="E55" i="2"/>
  <c r="K49" i="2"/>
  <c r="K54" i="2" s="1"/>
  <c r="J49" i="2"/>
  <c r="J54" i="2" s="1"/>
  <c r="I49" i="2"/>
  <c r="I54" i="2" s="1"/>
  <c r="H49" i="2"/>
  <c r="H19" i="2" s="1"/>
  <c r="G49" i="2"/>
  <c r="G54" i="2" s="1"/>
  <c r="F49" i="2"/>
  <c r="F54" i="2" s="1"/>
  <c r="E49" i="2"/>
  <c r="E19" i="2" s="1"/>
  <c r="D49" i="2"/>
  <c r="D19" i="2" s="1"/>
  <c r="B48" i="2"/>
  <c r="B42" i="2"/>
  <c r="K35" i="2"/>
  <c r="J35" i="2"/>
  <c r="I35" i="2"/>
  <c r="I25" i="2" s="1"/>
  <c r="I27" i="2" s="1"/>
  <c r="H35" i="2"/>
  <c r="G35" i="2"/>
  <c r="F35" i="2"/>
  <c r="E35" i="2"/>
  <c r="E37" i="2" s="1"/>
  <c r="D35" i="2"/>
  <c r="D25" i="2"/>
  <c r="D27" i="2" s="1"/>
  <c r="F19" i="2"/>
  <c r="K17" i="2"/>
  <c r="K52" i="2" s="1"/>
  <c r="J17" i="2"/>
  <c r="I17" i="2"/>
  <c r="H17" i="2"/>
  <c r="H52" i="2" s="1"/>
  <c r="G17" i="2"/>
  <c r="G52" i="2" s="1"/>
  <c r="F17" i="2"/>
  <c r="E17" i="2"/>
  <c r="D17" i="2"/>
  <c r="K12" i="2"/>
  <c r="J12" i="2"/>
  <c r="I12" i="2"/>
  <c r="H12" i="2"/>
  <c r="G12" i="2"/>
  <c r="F12" i="2"/>
  <c r="E12" i="2"/>
  <c r="D12" i="2"/>
  <c r="G7" i="2"/>
  <c r="H7" i="2" s="1"/>
  <c r="I7" i="2" s="1"/>
  <c r="J7" i="2" s="1"/>
  <c r="K7" i="2" s="1"/>
  <c r="E7" i="2"/>
  <c r="D7" i="2" s="1"/>
  <c r="C37" i="3" l="1"/>
  <c r="C39" i="3"/>
  <c r="G52" i="3"/>
  <c r="G39" i="3"/>
  <c r="J19" i="2"/>
  <c r="E33" i="3"/>
  <c r="E35" i="3"/>
  <c r="E37" i="3"/>
  <c r="F37" i="3"/>
  <c r="F39" i="3"/>
  <c r="G35" i="3"/>
  <c r="G33" i="3"/>
  <c r="G51" i="3" s="1"/>
  <c r="G37" i="3"/>
  <c r="H52" i="3"/>
  <c r="H37" i="3"/>
  <c r="H35" i="3"/>
  <c r="H33" i="3"/>
  <c r="F39" i="2"/>
  <c r="F24" i="2"/>
  <c r="F25" i="2" s="1"/>
  <c r="F27" i="2" s="1"/>
  <c r="F61" i="2" s="1"/>
  <c r="J39" i="2"/>
  <c r="J25" i="2"/>
  <c r="J27" i="2" s="1"/>
  <c r="D52" i="2"/>
  <c r="D18" i="2"/>
  <c r="G37" i="2"/>
  <c r="G24" i="2"/>
  <c r="G25" i="2" s="1"/>
  <c r="G27" i="2" s="1"/>
  <c r="G61" i="2" s="1"/>
  <c r="C33" i="3"/>
  <c r="C35" i="3"/>
  <c r="K37" i="2"/>
  <c r="K25" i="2"/>
  <c r="K27" i="2" s="1"/>
  <c r="K61" i="2" s="1"/>
  <c r="E52" i="2"/>
  <c r="E18" i="2"/>
  <c r="H37" i="2"/>
  <c r="H24" i="2"/>
  <c r="H25" i="2" s="1"/>
  <c r="H27" i="2" s="1"/>
  <c r="F52" i="3"/>
  <c r="D52" i="3"/>
  <c r="D39" i="2"/>
  <c r="D38" i="2"/>
  <c r="D37" i="2"/>
  <c r="F37" i="2"/>
  <c r="G19" i="2"/>
  <c r="J38" i="2"/>
  <c r="K19" i="2"/>
  <c r="H66" i="2"/>
  <c r="I18" i="2"/>
  <c r="H18" i="2"/>
  <c r="I19" i="2"/>
  <c r="E38" i="2"/>
  <c r="I38" i="2"/>
  <c r="I37" i="2"/>
  <c r="G18" i="2"/>
  <c r="F18" i="2"/>
  <c r="J18" i="2"/>
  <c r="K18" i="2"/>
  <c r="J37" i="2"/>
  <c r="C51" i="3"/>
  <c r="G31" i="2"/>
  <c r="F31" i="2" s="1"/>
  <c r="E31" i="2" s="1"/>
  <c r="D31" i="2" s="1"/>
  <c r="D35" i="3"/>
  <c r="F38" i="2"/>
  <c r="E52" i="3"/>
  <c r="D37" i="3"/>
  <c r="F51" i="3"/>
  <c r="D33" i="3"/>
  <c r="I60" i="2"/>
  <c r="I65" i="2" s="1"/>
  <c r="I61" i="2"/>
  <c r="F60" i="2"/>
  <c r="F65" i="2" s="1"/>
  <c r="J61" i="2"/>
  <c r="J60" i="2"/>
  <c r="J65" i="2" s="1"/>
  <c r="G39" i="2"/>
  <c r="K39" i="2"/>
  <c r="H61" i="2"/>
  <c r="G38" i="2"/>
  <c r="K38" i="2"/>
  <c r="H39" i="2"/>
  <c r="I52" i="2"/>
  <c r="I66" i="2" s="1"/>
  <c r="G60" i="2"/>
  <c r="G65" i="2" s="1"/>
  <c r="K60" i="2"/>
  <c r="K65" i="2" s="1"/>
  <c r="G66" i="2"/>
  <c r="K66" i="2"/>
  <c r="H38" i="2"/>
  <c r="E39" i="2"/>
  <c r="I39" i="2"/>
  <c r="F52" i="2"/>
  <c r="F66" i="2" s="1"/>
  <c r="J52" i="2"/>
  <c r="J66" i="2" s="1"/>
  <c r="H54" i="2"/>
  <c r="H60" i="2"/>
  <c r="H65" i="2" s="1"/>
  <c r="E51" i="3" l="1"/>
  <c r="H51" i="3"/>
  <c r="H67" i="2"/>
  <c r="H31" i="2"/>
  <c r="I31" i="2" s="1"/>
  <c r="J31" i="2" s="1"/>
  <c r="K31" i="2" s="1"/>
  <c r="G67" i="2"/>
  <c r="J67" i="2"/>
  <c r="I67" i="2"/>
  <c r="I62" i="2"/>
  <c r="I63" i="2" s="1"/>
  <c r="K67" i="2"/>
  <c r="K62" i="2"/>
  <c r="K63" i="2" s="1"/>
  <c r="D51" i="3"/>
  <c r="F67" i="2"/>
  <c r="H62" i="2"/>
  <c r="H63" i="2" s="1"/>
  <c r="F62" i="2"/>
  <c r="F63" i="2" s="1"/>
  <c r="J62" i="2"/>
  <c r="J63" i="2" s="1"/>
  <c r="G62" i="2"/>
  <c r="G63" i="2" s="1"/>
  <c r="C43" i="1" l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</calcChain>
</file>

<file path=xl/comments1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3-5% is common depending on the condition of the building
</t>
        </r>
      </text>
    </comment>
  </commentList>
</comments>
</file>

<file path=xl/sharedStrings.xml><?xml version="1.0" encoding="utf-8"?>
<sst xmlns="http://schemas.openxmlformats.org/spreadsheetml/2006/main" count="172" uniqueCount="154">
  <si>
    <t>Nevada State Public Charter School Authority</t>
  </si>
  <si>
    <t>Mike Dang</t>
  </si>
  <si>
    <t>A)  EXECUTIVE SUMMARY</t>
  </si>
  <si>
    <t>B)  MEETING THE NEED</t>
  </si>
  <si>
    <t>C) ACADEMIC PLAN</t>
  </si>
  <si>
    <t>D) FINANCIAL PLAN</t>
  </si>
  <si>
    <t>E) OPERATIONS PLAN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</si>
  <si>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</si>
  <si>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</si>
  <si>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</si>
  <si>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</si>
  <si>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</si>
  <si>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</si>
  <si>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</si>
  <si>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</si>
  <si>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</si>
  <si>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</si>
  <si>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</si>
  <si>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</si>
  <si>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</si>
  <si>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</si>
  <si>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</si>
  <si>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</si>
  <si>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Facility RFAs:</t>
  </si>
  <si>
    <t>RFA Applied For</t>
  </si>
  <si>
    <t>x</t>
  </si>
  <si>
    <t>School Name:</t>
  </si>
  <si>
    <t xml:space="preserve">Date Submitted: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</si>
  <si>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</si>
  <si>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</si>
  <si>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</si>
  <si>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</si>
  <si>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</si>
  <si>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 xml:space="preserve">Current Charter 
Contract Start Date: 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</si>
  <si>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</si>
  <si>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</si>
  <si>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</si>
  <si>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Place an “x” to the left of the specific Request For Amendment (RFA) type(s) you are applying for):</t>
  </si>
  <si>
    <t>Applicant</t>
  </si>
  <si>
    <t>RFA Cover Sheet &amp; Contents Checklist</t>
  </si>
  <si>
    <t>School Board date
of application approval: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</si>
  <si>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</si>
  <si>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</si>
  <si>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</si>
  <si>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</si>
  <si>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</si>
  <si>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</si>
  <si>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</si>
  <si>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</si>
  <si>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</si>
  <si>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</si>
  <si>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</si>
  <si>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</si>
  <si>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</si>
  <si>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</si>
  <si>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>Applicant Notes</t>
  </si>
  <si>
    <t>SPCSA Special Instructions/Notes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</si>
  <si>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</si>
  <si>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</si>
  <si>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</si>
  <si>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Beacon Academy</t>
  </si>
  <si>
    <t>Acquisition Pro Forma Summary</t>
  </si>
  <si>
    <t>Proposed Site Address (/w/cross streets)</t>
  </si>
  <si>
    <t>Enrollment, Actual/Approved</t>
  </si>
  <si>
    <t>Actual</t>
  </si>
  <si>
    <t>Planned</t>
  </si>
  <si>
    <t>Revenues (actual/estimate)</t>
  </si>
  <si>
    <t>Other</t>
  </si>
  <si>
    <t>Total Revenue</t>
  </si>
  <si>
    <t>Revenue per pupil</t>
  </si>
  <si>
    <t>Acquisition payments/Revenues</t>
  </si>
  <si>
    <t>Expenses (actual/estimate)</t>
  </si>
  <si>
    <t>Instruction</t>
  </si>
  <si>
    <t>Admin &amp; support</t>
  </si>
  <si>
    <t>Other expenses</t>
  </si>
  <si>
    <t>Total Expenses (b4 Facility payments)</t>
  </si>
  <si>
    <t>Net Surplus/(Deficit) before Facility payments</t>
  </si>
  <si>
    <t>Facility Payment Plan</t>
  </si>
  <si>
    <t>Payments /</t>
  </si>
  <si>
    <t>Lease Payments</t>
  </si>
  <si>
    <t>Facilities sf</t>
  </si>
  <si>
    <t>Total Lease Payments</t>
  </si>
  <si>
    <t>Facility Lease/Revenue</t>
  </si>
  <si>
    <t>Rent Growth Rates</t>
  </si>
  <si>
    <t>Rent /sf/mo</t>
  </si>
  <si>
    <t>Mortgage Payments</t>
  </si>
  <si>
    <t>Total Acquisition Payments</t>
  </si>
  <si>
    <t>Reserves</t>
  </si>
  <si>
    <t>%  Revenue</t>
  </si>
  <si>
    <t>Reserve Payments</t>
  </si>
  <si>
    <t>Facility Acq'n/Revenue</t>
  </si>
  <si>
    <t>Mortgage/Bond Payment /sf/mo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</si>
  <si>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</si>
  <si>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</si>
  <si>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</si>
  <si>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</si>
  <si>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</si>
  <si>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Select Statistics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</si>
  <si>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</si>
  <si>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</si>
  <si>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</si>
  <si>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</si>
  <si>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</si>
  <si>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</si>
  <si>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</si>
  <si>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</si>
  <si>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</si>
  <si>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</si>
  <si>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</si>
  <si>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</si>
  <si>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</si>
  <si>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</si>
  <si>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</si>
  <si>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</si>
  <si>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</si>
  <si>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</si>
  <si>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</si>
  <si>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</si>
  <si>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</si>
  <si>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</si>
  <si>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</si>
  <si>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</si>
  <si>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</si>
  <si>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</si>
  <si>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</si>
  <si>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</si>
  <si>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</si>
  <si>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</si>
  <si>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</si>
  <si>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 xml:space="preserve">Total </t>
  </si>
  <si>
    <t>Enr't Change:</t>
  </si>
  <si>
    <t>Source: NDE validated</t>
  </si>
  <si>
    <t>Tambre Tondryk</t>
  </si>
  <si>
    <t>This summary is designed to reflect highlights from your far more extensive due diligence and feasibility analysis work, copies of which may be requested.</t>
  </si>
  <si>
    <t>Acquire current school complex currently occupied with included other real estate</t>
  </si>
  <si>
    <t>School Data Profile  (see tab)</t>
  </si>
  <si>
    <t>Pro Forma Summary (see tab)</t>
  </si>
  <si>
    <t>Executive Director of Operations</t>
  </si>
  <si>
    <t>702-305-4589</t>
  </si>
  <si>
    <t>tambre.tondryk@banv.org</t>
  </si>
  <si>
    <t>State</t>
  </si>
  <si>
    <t>Federal</t>
  </si>
  <si>
    <t>7360 W. Flamingo</t>
  </si>
  <si>
    <t>Proposed Expansion</t>
  </si>
  <si>
    <t xml:space="preserve">                New mortgage assumes bond closing by July 1, 2020.</t>
  </si>
  <si>
    <t xml:space="preserve">** Note:  </t>
  </si>
  <si>
    <t>7360 W. Flamingo Rd., Las Vegas NV 89417</t>
  </si>
  <si>
    <t>X</t>
  </si>
  <si>
    <t>%</t>
  </si>
  <si>
    <t>4035 Tenaya Way, Ste. 103, 105</t>
  </si>
  <si>
    <t>4035 Tenaya Way, Ste.102</t>
  </si>
  <si>
    <t>4035 Tenaya Way, Ste. 101</t>
  </si>
  <si>
    <t>4035 Tenaya Way, Ste 104</t>
  </si>
  <si>
    <t>4035 Tenaya Way, Ste 2nd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</si>
</sst>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#,##0_)&quot;sf&quot;;\(#,##0\)&quot;sf&quot;;_(* &quot;-&quot;_);_(@_)"/>
    <numFmt numFmtId="170" formatCode="&quot;yr &quot;_(#,##0_);[Red]&quot;yr&quot;_(\(#,##0\);_(&quot;-&quot;_);_(@_)"/>
    <numFmt numFmtId="171" formatCode="_(&quot;$&quot;#,##0.00_);[Red]_(&quot;$&quot;\(#,##0.00\);_(&quot;$&quot;\ &quot;-&quot;_);_(@_)"/>
    <numFmt numFmtId="172" formatCode="&quot;SYE &quot;General"/>
    <numFmt numFmtId="173" formatCode="&quot;Yr &quot;General"/>
    <numFmt numFmtId="174" formatCode="0%;[Red]\(0%\);&quot;-&quot;"/>
    <numFmt numFmtId="175" formatCode="0%;[Red]\(0%\);&quot; &quot;"/>
    <numFmt numFmtId="176" formatCode="_(&quot;$&quot;* #,##0_);_(&quot;$&quot;* \(#,##0\);_(&quot;$&quot;* &quot;-&quot;??_);_(@_)"/>
  </numFmts>
  <fonts count="45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12" fillId="0" borderId="2" xfId="0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4" fontId="23" fillId="0" borderId="3" xfId="1" applyNumberFormat="1" applyFont="1" applyBorder="1" applyAlignment="1">
      <alignment horizontal="right"/>
    </xf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2" fillId="0" borderId="3" xfId="1" applyNumberFormat="1" applyFont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 applyBorder="1"/>
    <xf numFmtId="164" fontId="17" fillId="3" borderId="0" xfId="1" applyNumberFormat="1" applyFont="1" applyFill="1" applyBorder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164" fontId="6" fillId="0" borderId="0" xfId="1" applyNumberFormat="1" applyFill="1"/>
    <xf numFmtId="164" fontId="25" fillId="0" borderId="0" xfId="1" quotePrefix="1" applyNumberFormat="1" applyFont="1" applyFill="1" applyBorder="1" applyAlignment="1">
      <alignment horizontal="left" indent="1"/>
    </xf>
    <xf numFmtId="164" fontId="25" fillId="0" borderId="0" xfId="1" applyNumberFormat="1" applyFont="1" applyFill="1" applyBorder="1"/>
    <xf numFmtId="167" fontId="25" fillId="0" borderId="0" xfId="1" applyNumberFormat="1" applyFont="1" applyFill="1" applyBorder="1"/>
    <xf numFmtId="164" fontId="25" fillId="0" borderId="0" xfId="1" applyNumberFormat="1" applyFont="1" applyFill="1" applyBorder="1" applyAlignment="1">
      <alignment horizontal="left" indent="1"/>
    </xf>
    <xf numFmtId="168" fontId="25" fillId="0" borderId="0" xfId="1" applyNumberFormat="1" applyFont="1" applyFill="1" applyBorder="1"/>
    <xf numFmtId="164" fontId="17" fillId="3" borderId="0" xfId="1" quotePrefix="1" applyNumberFormat="1" applyFont="1" applyFill="1" applyBorder="1" applyAlignment="1">
      <alignment horizontal="left"/>
    </xf>
    <xf numFmtId="164" fontId="17" fillId="3" borderId="2" xfId="1" applyNumberFormat="1" applyFont="1" applyFill="1" applyBorder="1"/>
    <xf numFmtId="169" fontId="17" fillId="3" borderId="2" xfId="1" applyNumberFormat="1" applyFont="1" applyFill="1" applyBorder="1"/>
    <xf numFmtId="164" fontId="17" fillId="3" borderId="7" xfId="1" applyNumberFormat="1" applyFont="1" applyFill="1" applyBorder="1"/>
    <xf numFmtId="164" fontId="17" fillId="3" borderId="3" xfId="1" applyNumberFormat="1" applyFont="1" applyFill="1" applyBorder="1"/>
    <xf numFmtId="169" fontId="17" fillId="3" borderId="8" xfId="1" applyNumberFormat="1" applyFont="1" applyFill="1" applyBorder="1"/>
    <xf numFmtId="164" fontId="17" fillId="3" borderId="9" xfId="1" applyNumberFormat="1" applyFont="1" applyFill="1" applyBorder="1"/>
    <xf numFmtId="164" fontId="12" fillId="0" borderId="0" xfId="1" applyNumberFormat="1" applyFont="1" applyBorder="1"/>
    <xf numFmtId="164" fontId="12" fillId="0" borderId="10" xfId="1" applyNumberFormat="1" applyFont="1" applyBorder="1"/>
    <xf numFmtId="167" fontId="12" fillId="0" borderId="10" xfId="1" applyNumberFormat="1" applyFont="1" applyBorder="1"/>
    <xf numFmtId="164" fontId="23" fillId="0" borderId="0" xfId="1" applyNumberFormat="1" applyFont="1"/>
    <xf numFmtId="170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Fill="1" applyBorder="1"/>
    <xf numFmtId="164" fontId="17" fillId="3" borderId="6" xfId="1" applyNumberFormat="1" applyFont="1" applyFill="1" applyBorder="1"/>
    <xf numFmtId="169" fontId="17" fillId="3" borderId="4" xfId="1" applyNumberFormat="1" applyFont="1" applyFill="1" applyBorder="1"/>
    <xf numFmtId="167" fontId="17" fillId="3" borderId="11" xfId="1" applyNumberFormat="1" applyFont="1" applyFill="1" applyBorder="1"/>
    <xf numFmtId="167" fontId="12" fillId="0" borderId="0" xfId="1" applyNumberFormat="1" applyFont="1" applyBorder="1"/>
    <xf numFmtId="168" fontId="12" fillId="0" borderId="0" xfId="1" applyNumberFormat="1" applyFont="1" applyBorder="1"/>
    <xf numFmtId="171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Fill="1" applyBorder="1"/>
    <xf numFmtId="168" fontId="17" fillId="3" borderId="4" xfId="1" applyNumberFormat="1" applyFont="1" applyFill="1" applyBorder="1"/>
    <xf numFmtId="164" fontId="27" fillId="0" borderId="0" xfId="1" applyNumberFormat="1" applyFont="1"/>
    <xf numFmtId="164" fontId="20" fillId="0" borderId="0" xfId="1" applyNumberFormat="1" applyFont="1"/>
    <xf numFmtId="164" fontId="20" fillId="0" borderId="0" xfId="1" applyNumberFormat="1" applyFont="1" applyBorder="1"/>
    <xf numFmtId="171" fontId="28" fillId="0" borderId="0" xfId="2" applyNumberFormat="1" applyFont="1" applyBorder="1"/>
    <xf numFmtId="0" fontId="20" fillId="0" borderId="0" xfId="1" applyFont="1"/>
    <xf numFmtId="0" fontId="27" fillId="0" borderId="0" xfId="1" applyFont="1"/>
    <xf numFmtId="167" fontId="12" fillId="0" borderId="0" xfId="1" applyNumberFormat="1" applyFont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Fill="1" applyBorder="1" applyAlignment="1">
      <alignment horizontal="left" vertical="center"/>
    </xf>
    <xf numFmtId="0" fontId="30" fillId="0" borderId="0" xfId="3" applyFont="1" applyFill="1" applyBorder="1" applyAlignment="1">
      <alignment horizontal="left" vertical="center"/>
    </xf>
    <xf numFmtId="172" fontId="31" fillId="3" borderId="0" xfId="3" applyNumberFormat="1" applyFont="1" applyFill="1" applyBorder="1" applyAlignment="1">
      <alignment horizontal="left" vertical="center"/>
    </xf>
    <xf numFmtId="0" fontId="6" fillId="0" borderId="0" xfId="1" applyFont="1" applyFill="1"/>
    <xf numFmtId="164" fontId="6" fillId="0" borderId="0" xfId="1" applyNumberFormat="1" applyFont="1" applyFill="1"/>
    <xf numFmtId="0" fontId="32" fillId="0" borderId="0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/>
    </xf>
    <xf numFmtId="173" fontId="23" fillId="0" borderId="0" xfId="1" applyNumberFormat="1" applyFont="1" applyAlignment="1">
      <alignment horizontal="center"/>
    </xf>
    <xf numFmtId="0" fontId="35" fillId="0" borderId="12" xfId="1" applyFont="1" applyBorder="1" applyAlignment="1">
      <alignment horizontal="center"/>
    </xf>
    <xf numFmtId="172" fontId="35" fillId="0" borderId="13" xfId="1" applyNumberFormat="1" applyFont="1" applyFill="1" applyBorder="1" applyAlignment="1">
      <alignment horizontal="center" vertical="center"/>
    </xf>
    <xf numFmtId="172" fontId="35" fillId="0" borderId="13" xfId="1" applyNumberFormat="1" applyFont="1" applyBorder="1" applyAlignment="1">
      <alignment horizontal="center"/>
    </xf>
    <xf numFmtId="172" fontId="35" fillId="0" borderId="14" xfId="1" applyNumberFormat="1" applyFont="1" applyBorder="1" applyAlignment="1">
      <alignment horizontal="center"/>
    </xf>
    <xf numFmtId="0" fontId="13" fillId="0" borderId="15" xfId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6" fillId="0" borderId="0" xfId="1" applyFont="1"/>
    <xf numFmtId="164" fontId="36" fillId="0" borderId="0" xfId="1" applyNumberFormat="1" applyFont="1"/>
    <xf numFmtId="0" fontId="34" fillId="0" borderId="18" xfId="3" applyFont="1" applyFill="1" applyBorder="1" applyAlignment="1">
      <alignment horizontal="center" vertical="center" wrapText="1"/>
    </xf>
    <xf numFmtId="0" fontId="34" fillId="0" borderId="19" xfId="3" applyFont="1" applyFill="1" applyBorder="1" applyAlignment="1">
      <alignment horizontal="left" vertical="center"/>
    </xf>
    <xf numFmtId="0" fontId="34" fillId="0" borderId="20" xfId="3" applyFont="1" applyFill="1" applyBorder="1" applyAlignment="1">
      <alignment vertical="center"/>
    </xf>
    <xf numFmtId="0" fontId="34" fillId="0" borderId="21" xfId="3" applyFont="1" applyFill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6" fillId="0" borderId="22" xfId="1" applyNumberFormat="1" applyFont="1" applyBorder="1"/>
    <xf numFmtId="0" fontId="34" fillId="0" borderId="23" xfId="3" applyFont="1" applyFill="1" applyBorder="1" applyAlignment="1">
      <alignment horizontal="center" vertical="center" wrapText="1"/>
    </xf>
    <xf numFmtId="0" fontId="34" fillId="0" borderId="15" xfId="3" applyFont="1" applyFill="1" applyBorder="1" applyAlignment="1">
      <alignment horizontal="center" vertical="center" wrapText="1"/>
    </xf>
    <xf numFmtId="0" fontId="34" fillId="0" borderId="16" xfId="3" applyFont="1" applyFill="1" applyBorder="1" applyAlignment="1">
      <alignment horizontal="center" vertical="center" wrapText="1"/>
    </xf>
    <xf numFmtId="0" fontId="34" fillId="0" borderId="17" xfId="3" applyFont="1" applyFill="1" applyBorder="1" applyAlignment="1">
      <alignment horizontal="center" vertical="center" wrapText="1"/>
    </xf>
    <xf numFmtId="0" fontId="37" fillId="0" borderId="17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8" fillId="0" borderId="24" xfId="3" applyNumberFormat="1" applyFont="1" applyFill="1" applyBorder="1" applyAlignment="1">
      <alignment horizontal="center" vertical="center"/>
    </xf>
    <xf numFmtId="174" fontId="39" fillId="3" borderId="25" xfId="3" applyNumberFormat="1" applyFont="1" applyFill="1" applyBorder="1" applyAlignment="1">
      <alignment horizontal="center" vertical="center"/>
    </xf>
    <xf numFmtId="174" fontId="39" fillId="3" borderId="26" xfId="3" applyNumberFormat="1" applyFont="1" applyFill="1" applyBorder="1" applyAlignment="1">
      <alignment horizontal="center" vertical="center"/>
    </xf>
    <xf numFmtId="174" fontId="39" fillId="3" borderId="1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166" fontId="38" fillId="0" borderId="28" xfId="3" applyNumberFormat="1" applyFont="1" applyFill="1" applyBorder="1" applyAlignment="1">
      <alignment horizontal="center" vertical="center"/>
    </xf>
    <xf numFmtId="174" fontId="39" fillId="3" borderId="29" xfId="3" applyNumberFormat="1" applyFont="1" applyFill="1" applyBorder="1" applyAlignment="1">
      <alignment horizontal="center" vertical="center"/>
    </xf>
    <xf numFmtId="174" fontId="39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2" fontId="35" fillId="0" borderId="14" xfId="1" applyNumberFormat="1" applyFont="1" applyFill="1" applyBorder="1" applyAlignment="1">
      <alignment horizontal="center" vertical="center"/>
    </xf>
    <xf numFmtId="0" fontId="34" fillId="0" borderId="31" xfId="3" applyFont="1" applyFill="1" applyBorder="1" applyAlignment="1">
      <alignment horizontal="center" vertical="center" wrapText="1"/>
    </xf>
    <xf numFmtId="164" fontId="12" fillId="0" borderId="0" xfId="1" quotePrefix="1" applyNumberFormat="1" applyFont="1" applyBorder="1"/>
    <xf numFmtId="164" fontId="12" fillId="0" borderId="32" xfId="1" quotePrefix="1" applyNumberFormat="1" applyFont="1" applyBorder="1"/>
    <xf numFmtId="0" fontId="34" fillId="0" borderId="33" xfId="3" applyFont="1" applyFill="1" applyBorder="1" applyAlignment="1">
      <alignment horizontal="center" vertical="center" wrapText="1"/>
    </xf>
    <xf numFmtId="164" fontId="39" fillId="3" borderId="34" xfId="3" applyNumberFormat="1" applyFont="1" applyFill="1" applyBorder="1" applyAlignment="1">
      <alignment horizontal="center" vertical="center"/>
    </xf>
    <xf numFmtId="164" fontId="39" fillId="3" borderId="35" xfId="3" applyNumberFormat="1" applyFont="1" applyFill="1" applyBorder="1" applyAlignment="1">
      <alignment horizontal="center" vertical="center"/>
    </xf>
    <xf numFmtId="0" fontId="34" fillId="0" borderId="24" xfId="3" applyFont="1" applyFill="1" applyBorder="1" applyAlignment="1">
      <alignment horizontal="center" vertical="center" wrapText="1"/>
    </xf>
    <xf numFmtId="175" fontId="40" fillId="0" borderId="1" xfId="3" applyNumberFormat="1" applyFont="1" applyFill="1" applyBorder="1" applyAlignment="1">
      <alignment horizontal="center" vertical="center"/>
    </xf>
    <xf numFmtId="164" fontId="39" fillId="3" borderId="1" xfId="3" applyNumberFormat="1" applyFont="1" applyFill="1" applyBorder="1" applyAlignment="1">
      <alignment horizontal="center" vertical="center"/>
    </xf>
    <xf numFmtId="164" fontId="39" fillId="3" borderId="27" xfId="3" applyNumberFormat="1" applyFont="1" applyFill="1" applyBorder="1" applyAlignment="1">
      <alignment horizontal="center" vertical="center"/>
    </xf>
    <xf numFmtId="175" fontId="41" fillId="3" borderId="27" xfId="3" applyNumberFormat="1" applyFont="1" applyFill="1" applyBorder="1" applyAlignment="1">
      <alignment horizontal="center" vertical="center"/>
    </xf>
    <xf numFmtId="0" fontId="12" fillId="0" borderId="24" xfId="1" applyFont="1" applyFill="1" applyBorder="1"/>
    <xf numFmtId="0" fontId="12" fillId="0" borderId="36" xfId="1" applyFont="1" applyFill="1" applyBorder="1"/>
    <xf numFmtId="175" fontId="41" fillId="3" borderId="37" xfId="3" applyNumberFormat="1" applyFont="1" applyFill="1" applyBorder="1" applyAlignment="1">
      <alignment horizontal="center" vertical="center"/>
    </xf>
    <xf numFmtId="0" fontId="34" fillId="0" borderId="12" xfId="3" applyFont="1" applyFill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4" fillId="0" borderId="0" xfId="3" applyFont="1" applyFill="1" applyBorder="1" applyAlignment="1">
      <alignment horizontal="center" vertical="center" wrapText="1"/>
    </xf>
    <xf numFmtId="168" fontId="12" fillId="0" borderId="0" xfId="1" quotePrefix="1" applyNumberFormat="1" applyFont="1" applyBorder="1"/>
    <xf numFmtId="168" fontId="12" fillId="0" borderId="0" xfId="1" applyNumberFormat="1" applyFont="1"/>
    <xf numFmtId="164" fontId="17" fillId="3" borderId="0" xfId="0" applyNumberFormat="1" applyFont="1" applyFill="1" applyBorder="1" applyAlignment="1" applyProtection="1">
      <alignment horizontal="center"/>
      <protection locked="0"/>
    </xf>
    <xf numFmtId="0" fontId="42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Fill="1" applyBorder="1"/>
    <xf numFmtId="167" fontId="17" fillId="3" borderId="38" xfId="1" applyNumberFormat="1" applyFont="1" applyFill="1" applyBorder="1"/>
    <xf numFmtId="176" fontId="17" fillId="3" borderId="4" xfId="6" applyNumberFormat="1" applyFont="1" applyFill="1" applyBorder="1"/>
    <xf numFmtId="176" fontId="17" fillId="3" borderId="2" xfId="6" applyNumberFormat="1" applyFont="1" applyFill="1" applyBorder="1"/>
    <xf numFmtId="176" fontId="17" fillId="3" borderId="0" xfId="6" applyNumberFormat="1" applyFont="1" applyFill="1" applyBorder="1"/>
    <xf numFmtId="176" fontId="17" fillId="3" borderId="0" xfId="6" applyNumberFormat="1" applyFont="1" applyFill="1" applyBorder="1" applyAlignment="1">
      <alignment horizontal="right"/>
    </xf>
    <xf numFmtId="176" fontId="17" fillId="3" borderId="4" xfId="1" applyNumberFormat="1" applyFont="1" applyFill="1" applyBorder="1"/>
    <xf numFmtId="176" fontId="17" fillId="3" borderId="7" xfId="5" applyNumberFormat="1" applyFont="1" applyFill="1" applyBorder="1"/>
    <xf numFmtId="176" fontId="17" fillId="3" borderId="9" xfId="5" applyNumberFormat="1" applyFont="1" applyFill="1" applyBorder="1"/>
    <xf numFmtId="164" fontId="17" fillId="3" borderId="2" xfId="1" applyNumberFormat="1" applyFont="1" applyFill="1" applyBorder="1" applyAlignment="1">
      <alignment horizontal="left" wrapText="1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vertical="center"/>
      <protection locked="0"/>
    </xf>
    <xf numFmtId="0" fontId="43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</cellXfs>
  <cellStyles count="7">
    <cellStyle name="Comma" xfId="5" builtinId="3"/>
    <cellStyle name="Currency" xfId="6" builtinId="4"/>
    <cellStyle name="Currency 2" xfId="2"/>
    <cellStyle name="Hyperlink" xfId="4" builtinId="8"/>
    <cellStyle name="Normal" xfId="0" builtinId="0"/>
    <cellStyle name="Normal 2" xfId="1"/>
    <cellStyle name="Normal_Sheet1" xfId="3"/>
  </cellStyles>
  <dxfs count="4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bre.tondryk@banv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30"/>
  <sheetViews>
    <sheetView showGridLines="0" tabSelected="1" view="pageBreakPreview" zoomScale="115" zoomScaleNormal="115" zoomScaleSheetLayoutView="115" workbookViewId="0">
      <selection activeCell="M20" sqref="M20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39</v>
      </c>
      <c r="B1" s="5"/>
      <c r="C1" s="5"/>
      <c r="D1" s="5"/>
      <c r="E1" s="5"/>
      <c r="F1" s="5"/>
      <c r="G1" s="5"/>
    </row>
    <row r="2" spans="1:18" ht="15.75" x14ac:dyDescent="0.25">
      <c r="A2" s="36" t="s">
        <v>60</v>
      </c>
      <c r="B2" s="37"/>
      <c r="C2" s="37"/>
      <c r="D2" s="37"/>
      <c r="E2" s="37"/>
      <c r="F2" s="37"/>
      <c r="G2" s="37"/>
    </row>
    <row r="3" spans="1:18" x14ac:dyDescent="0.2">
      <c r="A3" s="1" t="s">
        <v>0</v>
      </c>
    </row>
    <row r="4" spans="1:18" ht="15" x14ac:dyDescent="0.2">
      <c r="A4" s="2" t="s">
        <v>1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4" t="s">
        <v>57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4" t="s">
        <v>58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5" t="s">
        <v>59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38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26</v>
      </c>
      <c r="C12" s="18"/>
      <c r="D12" s="18"/>
      <c r="E12" s="18"/>
      <c r="F12" s="183" t="s">
        <v>60</v>
      </c>
      <c r="G12" s="183"/>
      <c r="H12" s="183"/>
      <c r="I12" s="183"/>
      <c r="J12" s="183"/>
      <c r="K12" s="18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27</v>
      </c>
      <c r="C13" s="18"/>
      <c r="D13" s="18"/>
      <c r="E13" s="18"/>
      <c r="F13" s="185">
        <v>43818</v>
      </c>
      <c r="G13" s="183"/>
      <c r="H13" s="183"/>
      <c r="I13" s="183"/>
      <c r="J13" s="183"/>
      <c r="K13" s="183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184" t="s">
        <v>33</v>
      </c>
      <c r="C14" s="184"/>
      <c r="D14" s="184"/>
      <c r="E14" s="184"/>
      <c r="F14" s="185">
        <v>43983</v>
      </c>
      <c r="G14" s="183"/>
      <c r="H14" s="183"/>
      <c r="I14" s="183"/>
      <c r="J14" s="183"/>
      <c r="K14" s="183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184" t="s">
        <v>28</v>
      </c>
      <c r="C15" s="184"/>
      <c r="D15" s="184"/>
      <c r="E15" s="184"/>
      <c r="F15" s="185">
        <v>46174</v>
      </c>
      <c r="G15" s="183"/>
      <c r="H15" s="183"/>
      <c r="I15" s="183"/>
      <c r="J15" s="183"/>
      <c r="K15" s="183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29</v>
      </c>
      <c r="C16" s="18"/>
      <c r="D16" s="18"/>
      <c r="E16" s="18"/>
      <c r="F16" s="183" t="s">
        <v>132</v>
      </c>
      <c r="G16" s="183"/>
      <c r="H16" s="183"/>
      <c r="I16" s="183"/>
      <c r="J16" s="183"/>
      <c r="K16" s="18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30</v>
      </c>
      <c r="C17" s="18"/>
      <c r="D17" s="18"/>
      <c r="E17" s="18"/>
      <c r="F17" s="183" t="s">
        <v>137</v>
      </c>
      <c r="G17" s="183"/>
      <c r="H17" s="183"/>
      <c r="I17" s="183"/>
      <c r="J17" s="183"/>
      <c r="K17" s="18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31</v>
      </c>
      <c r="C18" s="18"/>
      <c r="D18" s="18"/>
      <c r="E18" s="18"/>
      <c r="F18" s="183" t="s">
        <v>138</v>
      </c>
      <c r="G18" s="183"/>
      <c r="H18" s="183"/>
      <c r="I18" s="183"/>
      <c r="J18" s="183"/>
      <c r="K18" s="18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184" t="s">
        <v>32</v>
      </c>
      <c r="C19" s="184"/>
      <c r="D19" s="184"/>
      <c r="E19" s="184"/>
      <c r="F19" s="186" t="s">
        <v>139</v>
      </c>
      <c r="G19" s="183"/>
      <c r="H19" s="183"/>
      <c r="I19" s="183"/>
      <c r="J19" s="183"/>
      <c r="K19" s="18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184" t="s">
        <v>40</v>
      </c>
      <c r="C20" s="184"/>
      <c r="D20" s="184"/>
      <c r="E20" s="184"/>
      <c r="F20" s="185">
        <v>43818</v>
      </c>
      <c r="G20" s="183"/>
      <c r="H20" s="183"/>
      <c r="I20" s="183"/>
      <c r="J20" s="183"/>
      <c r="K20" s="183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24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37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41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42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43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44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45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46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47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25</v>
      </c>
      <c r="C31" s="29"/>
      <c r="D31" s="30">
        <v>8</v>
      </c>
      <c r="E31" s="8" t="s">
        <v>48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49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50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51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52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53</v>
      </c>
      <c r="G36" s="187"/>
      <c r="H36" s="187"/>
      <c r="I36" s="187"/>
      <c r="J36" s="187"/>
      <c r="K36" s="187"/>
      <c r="L36" s="187"/>
      <c r="M36" s="187"/>
      <c r="N36" s="18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54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34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35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36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25</v>
      </c>
      <c r="C43" s="13" t="str">
        <f>IF(B43="x"," ","nc")</f>
        <v xml:space="preserve"> </v>
      </c>
      <c r="D43" s="30">
        <v>1</v>
      </c>
      <c r="E43" s="8" t="s">
        <v>2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3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25</v>
      </c>
      <c r="C46" s="13" t="str">
        <f t="shared" si="0"/>
        <v xml:space="preserve"> </v>
      </c>
      <c r="D46" s="30">
        <v>4</v>
      </c>
      <c r="E46" s="8" t="s">
        <v>5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25</v>
      </c>
      <c r="C47" s="13" t="str">
        <f t="shared" si="0"/>
        <v xml:space="preserve"> </v>
      </c>
      <c r="D47" s="30">
        <v>5</v>
      </c>
      <c r="E47" s="8" t="s">
        <v>6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7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8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9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10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11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13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14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15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23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25</v>
      </c>
      <c r="C58" s="13" t="str">
        <f t="shared" si="0"/>
        <v xml:space="preserve"> </v>
      </c>
      <c r="D58" s="30">
        <v>16</v>
      </c>
      <c r="E58" s="8" t="s">
        <v>16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17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18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19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25</v>
      </c>
      <c r="C62" s="13" t="str">
        <f t="shared" si="0"/>
        <v xml:space="preserve"> </v>
      </c>
      <c r="D62" s="30">
        <v>20</v>
      </c>
      <c r="E62" s="8" t="s">
        <v>20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21</v>
      </c>
      <c r="F63" s="4"/>
      <c r="G63" s="32"/>
      <c r="H63" s="32"/>
      <c r="I63" s="32"/>
      <c r="J63" s="32"/>
      <c r="K63" s="32"/>
      <c r="L63" s="32"/>
      <c r="M63" s="32"/>
      <c r="N63" s="32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22</v>
      </c>
      <c r="F64" s="4"/>
      <c r="G64" s="32"/>
      <c r="H64" s="32"/>
      <c r="I64" s="32"/>
      <c r="J64" s="32"/>
      <c r="K64" s="32"/>
      <c r="L64" s="32"/>
      <c r="M64" s="32"/>
      <c r="N64" s="32"/>
      <c r="O64" s="4"/>
      <c r="P64" s="4"/>
      <c r="Q64" s="4"/>
      <c r="R64" s="4"/>
    </row>
    <row r="65" spans="1:18" ht="15" x14ac:dyDescent="0.2">
      <c r="A65" s="4"/>
      <c r="B65" s="170" t="s">
        <v>147</v>
      </c>
      <c r="C65" s="13" t="str">
        <f t="shared" si="0"/>
        <v xml:space="preserve"> </v>
      </c>
      <c r="D65" s="30">
        <v>23</v>
      </c>
      <c r="E65" s="8" t="s">
        <v>136</v>
      </c>
      <c r="F65" s="4"/>
      <c r="G65" s="32"/>
      <c r="H65" s="32"/>
      <c r="I65" s="32"/>
      <c r="J65" s="32"/>
      <c r="K65" s="32"/>
      <c r="L65" s="32"/>
      <c r="M65" s="32"/>
      <c r="N65" s="32"/>
      <c r="O65" s="4"/>
      <c r="P65" s="4"/>
      <c r="Q65" s="4"/>
      <c r="R65" s="4"/>
    </row>
    <row r="66" spans="1:18" ht="15" x14ac:dyDescent="0.2">
      <c r="A66" s="4"/>
      <c r="B66" s="170" t="s">
        <v>25</v>
      </c>
      <c r="C66" s="13" t="str">
        <f t="shared" si="0"/>
        <v xml:space="preserve"> </v>
      </c>
      <c r="D66" s="30">
        <v>24</v>
      </c>
      <c r="E66" s="8" t="s">
        <v>135</v>
      </c>
      <c r="F66" s="4"/>
      <c r="G66" s="32"/>
      <c r="H66" s="32"/>
      <c r="I66" s="32"/>
      <c r="J66" s="32"/>
      <c r="K66" s="32"/>
      <c r="L66" s="32"/>
      <c r="M66" s="32"/>
      <c r="N66" s="32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56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188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4"/>
      <c r="P69" s="4"/>
      <c r="Q69" s="4"/>
      <c r="R69" s="4"/>
    </row>
    <row r="70" spans="1:18" x14ac:dyDescent="0.2">
      <c r="A70" s="4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4"/>
      <c r="P70" s="4"/>
      <c r="Q70" s="4"/>
      <c r="R70" s="4"/>
    </row>
    <row r="71" spans="1:18" x14ac:dyDescent="0.2">
      <c r="A71" s="4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4"/>
      <c r="P71" s="4"/>
      <c r="Q71" s="4"/>
      <c r="R71" s="4"/>
    </row>
    <row r="72" spans="1:18" x14ac:dyDescent="0.2">
      <c r="A72" s="4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4"/>
      <c r="P72" s="4"/>
      <c r="Q72" s="4"/>
      <c r="R72" s="4"/>
    </row>
    <row r="73" spans="1:18" x14ac:dyDescent="0.2">
      <c r="A73" s="4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4"/>
      <c r="P73" s="4"/>
      <c r="Q73" s="4"/>
      <c r="R73" s="4"/>
    </row>
    <row r="74" spans="1:18" x14ac:dyDescent="0.2">
      <c r="A74" s="4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4"/>
      <c r="P74" s="4"/>
      <c r="Q74" s="4"/>
      <c r="R74" s="4"/>
    </row>
    <row r="75" spans="1:18" ht="18" x14ac:dyDescent="0.25">
      <c r="A75" s="4"/>
      <c r="B75" s="21" t="s">
        <v>55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188" t="s">
        <v>134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4"/>
      <c r="P76" s="4"/>
      <c r="Q76" s="4"/>
      <c r="R76" s="4"/>
    </row>
    <row r="77" spans="1:18" x14ac:dyDescent="0.2">
      <c r="A77" s="4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4"/>
      <c r="P77" s="4"/>
      <c r="Q77" s="4"/>
      <c r="R77" s="4"/>
    </row>
    <row r="78" spans="1:18" x14ac:dyDescent="0.2">
      <c r="A78" s="4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4"/>
      <c r="P78" s="4"/>
      <c r="Q78" s="4"/>
      <c r="R78" s="4"/>
    </row>
    <row r="79" spans="1:18" x14ac:dyDescent="0.2">
      <c r="A79" s="4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4"/>
      <c r="P79" s="4"/>
      <c r="Q79" s="4"/>
      <c r="R79" s="4"/>
    </row>
    <row r="80" spans="1:18" x14ac:dyDescent="0.2">
      <c r="A80" s="4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hyperlinks>
    <hyperlink ref="F19" r:id="rId1"/>
  </hyperlinks>
  <pageMargins left="0.35" right="0.25" top="0.32" bottom="0.5" header="0.32" footer="0.3"/>
  <pageSetup scale="87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showGridLines="0" topLeftCell="A22" zoomScale="115" zoomScaleNormal="115" zoomScaleSheetLayoutView="100" workbookViewId="0">
      <selection activeCell="B48" sqref="B48"/>
    </sheetView>
  </sheetViews>
  <sheetFormatPr defaultColWidth="9.140625" defaultRowHeight="12.75" x14ac:dyDescent="0.2"/>
  <cols>
    <col min="1" max="1" width="1.85546875" style="39" customWidth="1"/>
    <col min="2" max="2" width="22" style="39" customWidth="1"/>
    <col min="3" max="3" width="10.42578125" style="39" customWidth="1"/>
    <col min="4" max="4" width="13.28515625" style="39" customWidth="1"/>
    <col min="5" max="5" width="11.42578125" style="39" customWidth="1"/>
    <col min="6" max="6" width="13.42578125" style="39" customWidth="1"/>
    <col min="7" max="7" width="12.7109375" style="39" customWidth="1"/>
    <col min="8" max="8" width="12.42578125" style="39" customWidth="1"/>
    <col min="9" max="11" width="12" style="39" customWidth="1"/>
    <col min="12" max="13" width="11.28515625" style="39" bestFit="1" customWidth="1"/>
    <col min="14" max="16384" width="9.140625" style="39"/>
  </cols>
  <sheetData>
    <row r="1" spans="1:19" ht="15.75" x14ac:dyDescent="0.25">
      <c r="A1" s="38" t="s">
        <v>61</v>
      </c>
      <c r="B1" s="38"/>
      <c r="C1" s="38"/>
      <c r="D1" s="38"/>
      <c r="G1" s="40" t="s">
        <v>146</v>
      </c>
      <c r="H1" s="40"/>
      <c r="I1" s="40"/>
      <c r="J1" s="40"/>
      <c r="K1" s="40"/>
    </row>
    <row r="2" spans="1:19" ht="15.75" x14ac:dyDescent="0.25">
      <c r="A2" s="41" t="str">
        <f>'RFA Cover &amp; Cklst'!A2</f>
        <v>Beacon Academy</v>
      </c>
      <c r="B2" s="42"/>
      <c r="C2" s="42"/>
      <c r="D2" s="42"/>
      <c r="G2" s="43" t="s">
        <v>62</v>
      </c>
      <c r="H2" s="43"/>
      <c r="I2" s="43"/>
    </row>
    <row r="3" spans="1:19" x14ac:dyDescent="0.2">
      <c r="A3" s="44" t="s">
        <v>0</v>
      </c>
    </row>
    <row r="4" spans="1:19" x14ac:dyDescent="0.2">
      <c r="A4" s="45" t="s">
        <v>1</v>
      </c>
    </row>
    <row r="5" spans="1:19" x14ac:dyDescent="0.2">
      <c r="A5" s="46"/>
    </row>
    <row r="6" spans="1:19" x14ac:dyDescent="0.2">
      <c r="A6" s="47"/>
      <c r="B6" s="48"/>
      <c r="C6" s="48"/>
      <c r="D6" s="48"/>
      <c r="E6" s="48"/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/>
      <c r="N6" s="47"/>
      <c r="O6" s="47"/>
      <c r="P6" s="47"/>
      <c r="Q6" s="47"/>
      <c r="R6" s="47"/>
      <c r="S6" s="47"/>
    </row>
    <row r="7" spans="1:19" x14ac:dyDescent="0.2">
      <c r="A7" s="47"/>
      <c r="B7" s="50"/>
      <c r="C7" s="51"/>
      <c r="D7" s="52">
        <f>+E7-1</f>
        <v>2018</v>
      </c>
      <c r="E7" s="52">
        <f>+F7-1</f>
        <v>2019</v>
      </c>
      <c r="F7" s="53">
        <v>2020</v>
      </c>
      <c r="G7" s="52">
        <f t="shared" ref="G7:K7" si="0">1+F7</f>
        <v>2021</v>
      </c>
      <c r="H7" s="52">
        <f t="shared" si="0"/>
        <v>2022</v>
      </c>
      <c r="I7" s="52">
        <f t="shared" si="0"/>
        <v>2023</v>
      </c>
      <c r="J7" s="52">
        <f t="shared" si="0"/>
        <v>2024</v>
      </c>
      <c r="K7" s="52">
        <f t="shared" si="0"/>
        <v>2025</v>
      </c>
      <c r="L7" s="43"/>
      <c r="N7" s="47"/>
      <c r="O7" s="47"/>
      <c r="P7" s="47"/>
      <c r="Q7" s="47"/>
      <c r="R7" s="47"/>
      <c r="S7" s="47"/>
    </row>
    <row r="8" spans="1:19" x14ac:dyDescent="0.2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3"/>
      <c r="N8" s="47"/>
      <c r="O8" s="47"/>
      <c r="P8" s="47"/>
      <c r="Q8" s="47"/>
      <c r="R8" s="47"/>
      <c r="S8" s="47"/>
    </row>
    <row r="9" spans="1:19" x14ac:dyDescent="0.2">
      <c r="A9" s="47"/>
      <c r="B9" s="50" t="s">
        <v>63</v>
      </c>
      <c r="C9" s="54"/>
      <c r="D9" s="52"/>
      <c r="E9" s="52"/>
      <c r="F9" s="52"/>
      <c r="G9" s="52"/>
      <c r="H9" s="52"/>
      <c r="I9" s="52"/>
      <c r="J9" s="52"/>
      <c r="K9" s="52"/>
      <c r="L9" s="43"/>
      <c r="N9" s="47"/>
      <c r="O9" s="47"/>
      <c r="P9" s="47"/>
      <c r="Q9" s="47"/>
      <c r="R9" s="47"/>
      <c r="S9" s="47"/>
    </row>
    <row r="10" spans="1:19" x14ac:dyDescent="0.2">
      <c r="A10" s="47"/>
      <c r="B10" s="55" t="s">
        <v>64</v>
      </c>
      <c r="C10" s="55"/>
      <c r="D10" s="56">
        <v>373</v>
      </c>
      <c r="E10" s="56">
        <v>394</v>
      </c>
      <c r="F10" s="56">
        <v>0</v>
      </c>
      <c r="G10" s="55"/>
      <c r="H10" s="55"/>
      <c r="I10" s="55"/>
      <c r="J10" s="55"/>
      <c r="K10" s="55"/>
      <c r="L10" s="43"/>
      <c r="N10" s="47"/>
      <c r="O10" s="47"/>
      <c r="P10" s="47"/>
      <c r="Q10" s="47"/>
      <c r="R10" s="47"/>
      <c r="S10" s="47"/>
    </row>
    <row r="11" spans="1:19" x14ac:dyDescent="0.2">
      <c r="A11" s="47"/>
      <c r="B11" s="57" t="s">
        <v>65</v>
      </c>
      <c r="C11" s="57"/>
      <c r="D11" s="58">
        <v>0</v>
      </c>
      <c r="E11" s="58">
        <v>0</v>
      </c>
      <c r="F11" s="58">
        <v>350</v>
      </c>
      <c r="G11" s="57">
        <v>385</v>
      </c>
      <c r="H11" s="57">
        <v>585</v>
      </c>
      <c r="I11" s="57">
        <v>650</v>
      </c>
      <c r="J11" s="57">
        <v>700</v>
      </c>
      <c r="K11" s="57">
        <v>735</v>
      </c>
      <c r="L11" s="43"/>
      <c r="N11" s="47"/>
      <c r="O11" s="47"/>
      <c r="P11" s="47"/>
      <c r="Q11" s="47"/>
      <c r="R11" s="47"/>
      <c r="S11" s="47"/>
    </row>
    <row r="12" spans="1:19" x14ac:dyDescent="0.2">
      <c r="A12" s="47"/>
      <c r="B12" s="59"/>
      <c r="C12" s="59"/>
      <c r="D12" s="60">
        <f t="shared" ref="D12:E12" si="1">SUM(D10:D11)</f>
        <v>373</v>
      </c>
      <c r="E12" s="60">
        <f t="shared" si="1"/>
        <v>394</v>
      </c>
      <c r="F12" s="60">
        <f>SUM(F10:F11)</f>
        <v>350</v>
      </c>
      <c r="G12" s="60">
        <f t="shared" ref="G12:K12" si="2">SUM(G10:G11)</f>
        <v>385</v>
      </c>
      <c r="H12" s="60">
        <f t="shared" si="2"/>
        <v>585</v>
      </c>
      <c r="I12" s="60">
        <f t="shared" si="2"/>
        <v>650</v>
      </c>
      <c r="J12" s="60">
        <f t="shared" si="2"/>
        <v>700</v>
      </c>
      <c r="K12" s="60">
        <f t="shared" si="2"/>
        <v>735</v>
      </c>
      <c r="L12" s="43"/>
      <c r="N12" s="47"/>
      <c r="O12" s="47"/>
      <c r="P12" s="47"/>
      <c r="Q12" s="47"/>
      <c r="R12" s="47"/>
      <c r="S12" s="47"/>
    </row>
    <row r="13" spans="1:19" x14ac:dyDescent="0.2">
      <c r="A13" s="47"/>
      <c r="B13" s="50" t="s">
        <v>66</v>
      </c>
      <c r="C13" s="54"/>
      <c r="D13" s="52"/>
      <c r="E13" s="52"/>
      <c r="F13" s="52"/>
      <c r="G13" s="52"/>
      <c r="H13" s="52"/>
      <c r="I13" s="52"/>
      <c r="J13" s="52"/>
      <c r="K13" s="52"/>
      <c r="L13" s="43"/>
      <c r="N13" s="47"/>
      <c r="O13" s="47"/>
      <c r="P13" s="47"/>
      <c r="Q13" s="47"/>
      <c r="R13" s="47"/>
      <c r="S13" s="47"/>
    </row>
    <row r="14" spans="1:19" x14ac:dyDescent="0.2">
      <c r="A14" s="47"/>
      <c r="B14" s="61" t="s">
        <v>140</v>
      </c>
      <c r="C14" s="61"/>
      <c r="D14" s="175">
        <f>3576088+4349</f>
        <v>3580437</v>
      </c>
      <c r="E14" s="175">
        <v>3265477.16</v>
      </c>
      <c r="F14" s="175">
        <v>3178096</v>
      </c>
      <c r="G14" s="175">
        <v>3418010</v>
      </c>
      <c r="H14" s="175">
        <v>4874600</v>
      </c>
      <c r="I14" s="175">
        <v>5345391</v>
      </c>
      <c r="J14" s="175">
        <v>5707539</v>
      </c>
      <c r="K14" s="175">
        <v>5961042</v>
      </c>
      <c r="L14" s="43"/>
      <c r="N14" s="47"/>
      <c r="O14" s="47"/>
      <c r="P14" s="47"/>
      <c r="Q14" s="47"/>
      <c r="R14" s="47"/>
      <c r="S14" s="47"/>
    </row>
    <row r="15" spans="1:19" x14ac:dyDescent="0.2">
      <c r="A15" s="47"/>
      <c r="B15" s="62" t="s">
        <v>141</v>
      </c>
      <c r="C15" s="62"/>
      <c r="D15" s="176">
        <v>586064</v>
      </c>
      <c r="E15" s="176">
        <v>612852.11</v>
      </c>
      <c r="F15" s="176">
        <v>660014</v>
      </c>
      <c r="G15" s="176">
        <v>586606</v>
      </c>
      <c r="H15" s="176">
        <v>586607</v>
      </c>
      <c r="I15" s="176">
        <v>586607</v>
      </c>
      <c r="J15" s="176">
        <v>586607</v>
      </c>
      <c r="K15" s="176">
        <v>586607</v>
      </c>
      <c r="L15" s="43"/>
      <c r="N15" s="47"/>
      <c r="O15" s="47"/>
      <c r="P15" s="47"/>
      <c r="Q15" s="47"/>
      <c r="R15" s="47"/>
      <c r="S15" s="47"/>
    </row>
    <row r="16" spans="1:19" x14ac:dyDescent="0.2">
      <c r="A16" s="47"/>
      <c r="B16" s="63" t="s">
        <v>67</v>
      </c>
      <c r="C16" s="63"/>
      <c r="D16" s="177">
        <v>0</v>
      </c>
      <c r="E16" s="177">
        <v>292.52999999999997</v>
      </c>
      <c r="F16" s="177">
        <v>0</v>
      </c>
      <c r="G16" s="177">
        <v>145667</v>
      </c>
      <c r="H16" s="177">
        <v>145667</v>
      </c>
      <c r="I16" s="177">
        <v>145667</v>
      </c>
      <c r="J16" s="177">
        <v>145667</v>
      </c>
      <c r="K16" s="177">
        <v>145667</v>
      </c>
      <c r="L16" s="43"/>
      <c r="N16" s="47"/>
      <c r="O16" s="47"/>
      <c r="P16" s="47"/>
      <c r="Q16" s="47"/>
      <c r="R16" s="47"/>
      <c r="S16" s="47"/>
    </row>
    <row r="17" spans="1:19" x14ac:dyDescent="0.2">
      <c r="A17" s="47"/>
      <c r="B17" s="59" t="s">
        <v>68</v>
      </c>
      <c r="C17" s="59"/>
      <c r="D17" s="59">
        <f>SUM(D14:D16)</f>
        <v>4166501</v>
      </c>
      <c r="E17" s="59">
        <f t="shared" ref="E17:K17" si="3">SUM(E14:E16)</f>
        <v>3878621.8</v>
      </c>
      <c r="F17" s="59">
        <f t="shared" si="3"/>
        <v>3838110</v>
      </c>
      <c r="G17" s="59">
        <f t="shared" si="3"/>
        <v>4150283</v>
      </c>
      <c r="H17" s="59">
        <f t="shared" si="3"/>
        <v>5606874</v>
      </c>
      <c r="I17" s="59">
        <f t="shared" si="3"/>
        <v>6077665</v>
      </c>
      <c r="J17" s="59">
        <f t="shared" si="3"/>
        <v>6439813</v>
      </c>
      <c r="K17" s="59">
        <f t="shared" si="3"/>
        <v>6693316</v>
      </c>
      <c r="L17" s="43"/>
      <c r="N17" s="47"/>
      <c r="O17" s="47"/>
      <c r="P17" s="47"/>
      <c r="Q17" s="47"/>
      <c r="R17" s="47"/>
      <c r="S17" s="47"/>
    </row>
    <row r="18" spans="1:19" x14ac:dyDescent="0.2">
      <c r="A18" s="64"/>
      <c r="B18" s="65" t="s">
        <v>69</v>
      </c>
      <c r="C18" s="66"/>
      <c r="D18" s="67">
        <f t="shared" ref="D18:E18" si="4">IFERROR(D17/D12,0)</f>
        <v>11170.243967828419</v>
      </c>
      <c r="E18" s="67">
        <f t="shared" si="4"/>
        <v>9844.2177664974606</v>
      </c>
      <c r="F18" s="67">
        <f>IFERROR(F17/F12,0)</f>
        <v>10966.028571428571</v>
      </c>
      <c r="G18" s="67">
        <f t="shared" ref="G18:K18" si="5">IFERROR(G17/G12,0)</f>
        <v>10779.955844155844</v>
      </c>
      <c r="H18" s="67">
        <f t="shared" si="5"/>
        <v>9584.4</v>
      </c>
      <c r="I18" s="67">
        <f t="shared" si="5"/>
        <v>9350.2538461538461</v>
      </c>
      <c r="J18" s="67">
        <f t="shared" si="5"/>
        <v>9199.732857142857</v>
      </c>
      <c r="K18" s="67">
        <f t="shared" si="5"/>
        <v>9106.5523809523802</v>
      </c>
      <c r="L18" s="43"/>
      <c r="N18" s="47"/>
      <c r="O18" s="47"/>
      <c r="P18" s="47"/>
      <c r="Q18" s="47"/>
      <c r="R18" s="47"/>
      <c r="S18" s="47"/>
    </row>
    <row r="19" spans="1:19" x14ac:dyDescent="0.2">
      <c r="A19" s="64"/>
      <c r="B19" s="68" t="s">
        <v>70</v>
      </c>
      <c r="C19" s="66"/>
      <c r="D19" s="69">
        <f t="shared" ref="D19:E19" si="6">IFERROR(D49/D14,0)</f>
        <v>0</v>
      </c>
      <c r="E19" s="69">
        <f t="shared" si="6"/>
        <v>0</v>
      </c>
      <c r="F19" s="69">
        <f t="shared" ref="F19:K19" si="7">IFERROR(F49/F14,0)</f>
        <v>0</v>
      </c>
      <c r="G19" s="69">
        <f t="shared" si="7"/>
        <v>4.6693836472099265E-2</v>
      </c>
      <c r="H19" s="69">
        <f t="shared" si="7"/>
        <v>3.2741147991630082E-2</v>
      </c>
      <c r="I19" s="69">
        <f t="shared" si="7"/>
        <v>2.9857497795764614E-2</v>
      </c>
      <c r="J19" s="69">
        <f t="shared" si="7"/>
        <v>2.7963015233010233E-2</v>
      </c>
      <c r="K19" s="69">
        <f t="shared" si="7"/>
        <v>2.6773842559740395E-2</v>
      </c>
      <c r="L19" s="43"/>
      <c r="N19" s="47"/>
      <c r="O19" s="47"/>
      <c r="P19" s="47"/>
      <c r="Q19" s="47"/>
      <c r="R19" s="47"/>
      <c r="S19" s="47"/>
    </row>
    <row r="20" spans="1:19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  <c r="N20" s="47"/>
      <c r="O20" s="47"/>
      <c r="P20" s="47"/>
      <c r="Q20" s="47"/>
      <c r="R20" s="47"/>
      <c r="S20" s="47"/>
    </row>
    <row r="21" spans="1:19" x14ac:dyDescent="0.2">
      <c r="A21" s="47"/>
      <c r="B21" s="50" t="s">
        <v>71</v>
      </c>
      <c r="C21" s="54"/>
      <c r="D21" s="52"/>
      <c r="E21" s="52"/>
      <c r="F21" s="52"/>
      <c r="G21" s="52"/>
      <c r="H21" s="52"/>
      <c r="I21" s="52"/>
      <c r="J21" s="52"/>
      <c r="K21" s="52"/>
      <c r="L21" s="43"/>
      <c r="N21" s="47"/>
      <c r="O21" s="47"/>
      <c r="P21" s="47"/>
      <c r="Q21" s="47"/>
      <c r="R21" s="47"/>
      <c r="S21" s="47"/>
    </row>
    <row r="22" spans="1:19" x14ac:dyDescent="0.2">
      <c r="A22" s="47"/>
      <c r="B22" s="70" t="s">
        <v>72</v>
      </c>
      <c r="C22" s="57"/>
      <c r="D22" s="178">
        <v>574590.93000000005</v>
      </c>
      <c r="E22" s="178">
        <v>1084515.1400000001</v>
      </c>
      <c r="F22" s="179">
        <v>1226031.5728081372</v>
      </c>
      <c r="G22" s="179">
        <v>1290653.8408170613</v>
      </c>
      <c r="H22" s="179">
        <v>1773460.1471225228</v>
      </c>
      <c r="I22" s="179">
        <v>1759069.0601731031</v>
      </c>
      <c r="J22" s="179">
        <v>1794220.5672821505</v>
      </c>
      <c r="K22" s="179">
        <v>1826215.9664854112</v>
      </c>
      <c r="L22" s="43"/>
      <c r="N22" s="47"/>
      <c r="O22" s="47"/>
      <c r="P22" s="47"/>
      <c r="Q22" s="47"/>
      <c r="R22" s="47"/>
      <c r="S22" s="47"/>
    </row>
    <row r="23" spans="1:19" x14ac:dyDescent="0.2">
      <c r="A23" s="47"/>
      <c r="B23" s="71" t="s">
        <v>73</v>
      </c>
      <c r="C23" s="72"/>
      <c r="D23" s="180">
        <v>1675049.8399999999</v>
      </c>
      <c r="E23" s="180">
        <v>2058488.709999999</v>
      </c>
      <c r="F23" s="180">
        <v>2007520.9188657426</v>
      </c>
      <c r="G23" s="180">
        <v>2243780.6178891007</v>
      </c>
      <c r="H23" s="180">
        <v>2534483.3448728817</v>
      </c>
      <c r="I23" s="180">
        <v>2586927.1525434218</v>
      </c>
      <c r="J23" s="180">
        <v>2646420.260858763</v>
      </c>
      <c r="K23" s="180">
        <v>2699323.1762553183</v>
      </c>
      <c r="L23" s="43"/>
      <c r="N23" s="47"/>
      <c r="O23" s="47"/>
      <c r="P23" s="47"/>
      <c r="Q23" s="47"/>
      <c r="R23" s="47"/>
      <c r="S23" s="47"/>
    </row>
    <row r="24" spans="1:19" x14ac:dyDescent="0.2">
      <c r="A24" s="47"/>
      <c r="B24" s="74" t="s">
        <v>74</v>
      </c>
      <c r="C24" s="75"/>
      <c r="D24" s="181">
        <f>357704.55-D32</f>
        <v>122915.53999999998</v>
      </c>
      <c r="E24" s="181">
        <f>383133.2-E32</f>
        <v>159684.20000000001</v>
      </c>
      <c r="F24" s="181">
        <f>428337-F35</f>
        <v>209109</v>
      </c>
      <c r="G24" s="181">
        <f>597205-G35-G49</f>
        <v>110377</v>
      </c>
      <c r="H24" s="181">
        <f>893323-H35-H49</f>
        <v>298495</v>
      </c>
      <c r="I24" s="181">
        <f>893323-I35-I49</f>
        <v>298495</v>
      </c>
      <c r="J24" s="181">
        <f>893323-J35-J49</f>
        <v>298495</v>
      </c>
      <c r="K24" s="181">
        <f>893323-K35-K49</f>
        <v>298495</v>
      </c>
      <c r="L24" s="43"/>
      <c r="N24" s="47"/>
      <c r="O24" s="47"/>
      <c r="P24" s="47"/>
      <c r="Q24" s="47"/>
      <c r="R24" s="47"/>
      <c r="S24" s="47"/>
    </row>
    <row r="25" spans="1:19" x14ac:dyDescent="0.2">
      <c r="A25" s="47"/>
      <c r="B25" s="48" t="s">
        <v>75</v>
      </c>
      <c r="C25" s="48"/>
      <c r="D25" s="77">
        <f>SUM(D22:D24)</f>
        <v>2372556.31</v>
      </c>
      <c r="E25" s="77">
        <f>SUM(E22:E24)</f>
        <v>3302688.0499999993</v>
      </c>
      <c r="F25" s="77">
        <f t="shared" ref="F25:K25" si="8">SUM(F22:F24)</f>
        <v>3442661.4916738798</v>
      </c>
      <c r="G25" s="77">
        <f t="shared" si="8"/>
        <v>3644811.4587061619</v>
      </c>
      <c r="H25" s="77">
        <f t="shared" si="8"/>
        <v>4606438.4919954045</v>
      </c>
      <c r="I25" s="77">
        <f t="shared" si="8"/>
        <v>4644491.2127165254</v>
      </c>
      <c r="J25" s="77">
        <f t="shared" si="8"/>
        <v>4739135.8281409135</v>
      </c>
      <c r="K25" s="77">
        <f t="shared" si="8"/>
        <v>4824034.1427407293</v>
      </c>
      <c r="L25" s="43"/>
      <c r="N25" s="47"/>
      <c r="O25" s="47"/>
      <c r="P25" s="47"/>
      <c r="Q25" s="47"/>
      <c r="R25" s="47"/>
      <c r="S25" s="47"/>
    </row>
    <row r="26" spans="1:19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3"/>
      <c r="N26" s="47"/>
      <c r="O26" s="47"/>
      <c r="P26" s="47"/>
      <c r="Q26" s="47"/>
      <c r="R26" s="47"/>
      <c r="S26" s="47"/>
    </row>
    <row r="27" spans="1:19" ht="13.5" thickBot="1" x14ac:dyDescent="0.25">
      <c r="A27" s="47"/>
      <c r="B27" s="78" t="s">
        <v>76</v>
      </c>
      <c r="C27" s="78"/>
      <c r="D27" s="79">
        <f>SUM(D14:D16)-D25</f>
        <v>1793944.69</v>
      </c>
      <c r="E27" s="79">
        <f t="shared" ref="E27:K27" si="9">SUM(E14:E16)-E25</f>
        <v>575933.75000000047</v>
      </c>
      <c r="F27" s="79">
        <f t="shared" si="9"/>
        <v>395448.50832612021</v>
      </c>
      <c r="G27" s="79">
        <f t="shared" si="9"/>
        <v>505471.54129383806</v>
      </c>
      <c r="H27" s="79">
        <f t="shared" si="9"/>
        <v>1000435.5080045955</v>
      </c>
      <c r="I27" s="79">
        <f t="shared" si="9"/>
        <v>1433173.7872834746</v>
      </c>
      <c r="J27" s="79">
        <f t="shared" si="9"/>
        <v>1700677.1718590865</v>
      </c>
      <c r="K27" s="79">
        <f t="shared" si="9"/>
        <v>1869281.8572592707</v>
      </c>
      <c r="L27" s="43"/>
      <c r="N27" s="47"/>
      <c r="O27" s="47"/>
      <c r="P27" s="47"/>
      <c r="Q27" s="47"/>
      <c r="R27" s="47"/>
      <c r="S27" s="47"/>
    </row>
    <row r="28" spans="1:19" ht="13.5" thickTop="1" x14ac:dyDescent="0.2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3"/>
      <c r="N28" s="47"/>
      <c r="O28" s="47"/>
      <c r="P28" s="47"/>
      <c r="Q28" s="47"/>
      <c r="R28" s="47"/>
      <c r="S28" s="47"/>
    </row>
    <row r="29" spans="1:19" x14ac:dyDescent="0.2">
      <c r="A29" s="47"/>
      <c r="B29" s="80" t="s">
        <v>77</v>
      </c>
      <c r="C29" s="48"/>
      <c r="D29" s="48"/>
      <c r="E29" s="48"/>
      <c r="F29" s="48"/>
      <c r="G29" s="48"/>
      <c r="H29" s="48"/>
      <c r="I29" s="48"/>
      <c r="J29" s="48"/>
      <c r="K29" s="48"/>
      <c r="L29" s="43"/>
      <c r="N29" s="47"/>
      <c r="O29" s="47"/>
      <c r="P29" s="47"/>
      <c r="Q29" s="47"/>
      <c r="R29" s="47"/>
      <c r="S29" s="47"/>
    </row>
    <row r="30" spans="1:19" x14ac:dyDescent="0.2">
      <c r="A30" s="47"/>
      <c r="B30" s="48"/>
      <c r="C30" s="48"/>
      <c r="D30" s="81"/>
      <c r="E30" s="81"/>
      <c r="F30" s="81"/>
      <c r="G30" s="82" t="s">
        <v>78</v>
      </c>
      <c r="H30" s="49">
        <v>2</v>
      </c>
      <c r="I30" s="49">
        <v>3</v>
      </c>
      <c r="J30" s="49">
        <v>4</v>
      </c>
      <c r="K30" s="49">
        <v>5</v>
      </c>
      <c r="L30" s="43"/>
      <c r="N30" s="47"/>
      <c r="O30" s="47"/>
      <c r="P30" s="47"/>
      <c r="Q30" s="47"/>
      <c r="R30" s="47"/>
      <c r="S30" s="47"/>
    </row>
    <row r="31" spans="1:19" x14ac:dyDescent="0.2">
      <c r="A31" s="47"/>
      <c r="B31" s="50" t="s">
        <v>79</v>
      </c>
      <c r="C31" s="51" t="s">
        <v>80</v>
      </c>
      <c r="D31" s="52">
        <f>+E31-1</f>
        <v>2018</v>
      </c>
      <c r="E31" s="52">
        <f>+F31-1</f>
        <v>2019</v>
      </c>
      <c r="F31" s="52">
        <f>+G31-1</f>
        <v>2020</v>
      </c>
      <c r="G31" s="83">
        <f>+G7</f>
        <v>2021</v>
      </c>
      <c r="H31" s="52">
        <f t="shared" ref="H31:K31" si="10">1+G31</f>
        <v>2022</v>
      </c>
      <c r="I31" s="52">
        <f t="shared" si="10"/>
        <v>2023</v>
      </c>
      <c r="J31" s="52">
        <f t="shared" si="10"/>
        <v>2024</v>
      </c>
      <c r="K31" s="52">
        <f t="shared" si="10"/>
        <v>2025</v>
      </c>
      <c r="L31" s="43"/>
      <c r="N31" s="47"/>
      <c r="O31" s="47"/>
      <c r="P31" s="47"/>
      <c r="Q31" s="47"/>
      <c r="R31" s="47"/>
      <c r="S31" s="47"/>
    </row>
    <row r="32" spans="1:19" x14ac:dyDescent="0.2">
      <c r="A32" s="47"/>
      <c r="B32" s="84" t="s">
        <v>142</v>
      </c>
      <c r="C32" s="85">
        <v>12592</v>
      </c>
      <c r="D32" s="86">
        <v>234789.01</v>
      </c>
      <c r="E32" s="86">
        <v>223449</v>
      </c>
      <c r="F32" s="86">
        <v>219228</v>
      </c>
      <c r="G32" s="86">
        <v>219228</v>
      </c>
      <c r="H32" s="86">
        <v>219228</v>
      </c>
      <c r="I32" s="86">
        <v>219228</v>
      </c>
      <c r="J32" s="86">
        <v>219228</v>
      </c>
      <c r="K32" s="86">
        <v>219228</v>
      </c>
      <c r="L32" s="43"/>
      <c r="N32" s="47"/>
      <c r="O32" s="47"/>
      <c r="P32" s="47"/>
      <c r="Q32" s="47"/>
      <c r="R32" s="47"/>
      <c r="S32" s="47"/>
    </row>
    <row r="33" spans="1:19" x14ac:dyDescent="0.2">
      <c r="A33" s="47"/>
      <c r="B33" s="71" t="s">
        <v>143</v>
      </c>
      <c r="C33" s="72">
        <v>10000</v>
      </c>
      <c r="D33" s="73">
        <v>0</v>
      </c>
      <c r="E33" s="73">
        <v>0</v>
      </c>
      <c r="F33" s="73">
        <v>0</v>
      </c>
      <c r="G33" s="174">
        <v>108000</v>
      </c>
      <c r="H33" s="174">
        <v>216000</v>
      </c>
      <c r="I33" s="174">
        <v>216000</v>
      </c>
      <c r="J33" s="174">
        <v>216000</v>
      </c>
      <c r="K33" s="174">
        <v>216000</v>
      </c>
      <c r="L33" s="43"/>
      <c r="N33" s="47"/>
      <c r="O33" s="47"/>
      <c r="P33" s="47"/>
      <c r="Q33" s="47"/>
      <c r="R33" s="47"/>
      <c r="S33" s="47"/>
    </row>
    <row r="34" spans="1:19" x14ac:dyDescent="0.2">
      <c r="A34" s="47"/>
      <c r="B34" s="74"/>
      <c r="C34" s="75"/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43"/>
      <c r="N34" s="47"/>
      <c r="O34" s="47"/>
      <c r="P34" s="47"/>
      <c r="Q34" s="47"/>
      <c r="R34" s="47"/>
      <c r="S34" s="47"/>
    </row>
    <row r="35" spans="1:19" x14ac:dyDescent="0.2">
      <c r="A35" s="47"/>
      <c r="B35" s="48" t="s">
        <v>81</v>
      </c>
      <c r="C35" s="48"/>
      <c r="D35" s="87">
        <f t="shared" ref="D35:K35" si="11">SUM(D32:D34)</f>
        <v>234789.01</v>
      </c>
      <c r="E35" s="87">
        <f t="shared" si="11"/>
        <v>223449</v>
      </c>
      <c r="F35" s="87">
        <f t="shared" si="11"/>
        <v>219228</v>
      </c>
      <c r="G35" s="87">
        <f t="shared" si="11"/>
        <v>327228</v>
      </c>
      <c r="H35" s="87">
        <f t="shared" si="11"/>
        <v>435228</v>
      </c>
      <c r="I35" s="87">
        <f t="shared" si="11"/>
        <v>435228</v>
      </c>
      <c r="J35" s="87">
        <f t="shared" si="11"/>
        <v>435228</v>
      </c>
      <c r="K35" s="87">
        <f t="shared" si="11"/>
        <v>435228</v>
      </c>
      <c r="L35" s="43"/>
      <c r="N35" s="47"/>
      <c r="O35" s="47"/>
      <c r="P35" s="47"/>
      <c r="Q35" s="47"/>
      <c r="R35" s="47"/>
      <c r="S35" s="47"/>
    </row>
    <row r="36" spans="1:19" x14ac:dyDescent="0.2">
      <c r="A36" s="47"/>
      <c r="B36" s="48"/>
      <c r="C36" s="48"/>
      <c r="D36" s="87"/>
      <c r="E36" s="87"/>
      <c r="F36" s="87"/>
      <c r="G36" s="87"/>
      <c r="H36" s="87"/>
      <c r="I36" s="87"/>
      <c r="J36" s="87"/>
      <c r="K36" s="87"/>
      <c r="L36" s="43"/>
      <c r="N36" s="47"/>
      <c r="O36" s="47"/>
      <c r="P36" s="47"/>
      <c r="Q36" s="47"/>
      <c r="R36" s="47"/>
      <c r="S36" s="47"/>
    </row>
    <row r="37" spans="1:19" x14ac:dyDescent="0.2">
      <c r="A37" s="47"/>
      <c r="B37" s="48" t="s">
        <v>82</v>
      </c>
      <c r="C37" s="48"/>
      <c r="D37" s="88">
        <f t="shared" ref="D37:E37" si="12">IFERROR(D35/D14,0)</f>
        <v>6.5575517737080702E-2</v>
      </c>
      <c r="E37" s="88">
        <f t="shared" si="12"/>
        <v>6.8427671991434166E-2</v>
      </c>
      <c r="F37" s="88">
        <f t="shared" ref="F37:K37" si="13">IFERROR(F35/F14,0)</f>
        <v>6.898092442770766E-2</v>
      </c>
      <c r="G37" s="88">
        <f t="shared" si="13"/>
        <v>9.5736408026892844E-2</v>
      </c>
      <c r="H37" s="88">
        <f t="shared" si="13"/>
        <v>8.9284864399130179E-2</v>
      </c>
      <c r="I37" s="88">
        <f t="shared" si="13"/>
        <v>8.1421171996585467E-2</v>
      </c>
      <c r="J37" s="88">
        <f t="shared" si="13"/>
        <v>7.625493229218408E-2</v>
      </c>
      <c r="K37" s="88">
        <f t="shared" si="13"/>
        <v>7.3012067353325147E-2</v>
      </c>
      <c r="L37" s="43"/>
      <c r="N37" s="47"/>
      <c r="O37" s="47"/>
      <c r="P37" s="47"/>
      <c r="Q37" s="47"/>
      <c r="R37" s="47"/>
      <c r="S37" s="47"/>
    </row>
    <row r="38" spans="1:19" x14ac:dyDescent="0.2">
      <c r="A38" s="47"/>
      <c r="B38" s="48" t="s">
        <v>83</v>
      </c>
      <c r="C38" s="48"/>
      <c r="D38" s="88">
        <f>IFERROR(D35/C35-1,0)</f>
        <v>0</v>
      </c>
      <c r="E38" s="88">
        <f>IFERROR(E35/D35-1,0)</f>
        <v>-4.8298725736779624E-2</v>
      </c>
      <c r="F38" s="88">
        <f t="shared" ref="F38:K38" si="14">IFERROR(F35/E35-1,0)</f>
        <v>-1.8890216559483419E-2</v>
      </c>
      <c r="G38" s="88">
        <f t="shared" si="14"/>
        <v>0.49263780174065364</v>
      </c>
      <c r="H38" s="88">
        <f t="shared" si="14"/>
        <v>0.33004510616450911</v>
      </c>
      <c r="I38" s="88">
        <f t="shared" si="14"/>
        <v>0</v>
      </c>
      <c r="J38" s="88">
        <f t="shared" si="14"/>
        <v>0</v>
      </c>
      <c r="K38" s="88">
        <f t="shared" si="14"/>
        <v>0</v>
      </c>
      <c r="L38" s="43"/>
      <c r="N38" s="47"/>
      <c r="O38" s="47"/>
      <c r="P38" s="47"/>
      <c r="Q38" s="47"/>
      <c r="R38" s="47"/>
      <c r="S38" s="47"/>
    </row>
    <row r="39" spans="1:19" x14ac:dyDescent="0.2">
      <c r="A39" s="47"/>
      <c r="B39" s="48" t="s">
        <v>84</v>
      </c>
      <c r="C39" s="48"/>
      <c r="D39" s="89">
        <f>IFERROR(D35/$C$32/12,0)</f>
        <v>1.5538239225963577</v>
      </c>
      <c r="E39" s="89">
        <f>IFERROR(E35/$C$32/12,0)</f>
        <v>1.4787762071156292</v>
      </c>
      <c r="F39" s="89">
        <f t="shared" ref="F39:K39" si="15">IFERROR(F35/$C$32/12,0)</f>
        <v>1.4508418043202032</v>
      </c>
      <c r="G39" s="89">
        <f t="shared" si="15"/>
        <v>2.1655813214739514</v>
      </c>
      <c r="H39" s="89">
        <f t="shared" si="15"/>
        <v>2.8803208386276999</v>
      </c>
      <c r="I39" s="89">
        <f t="shared" si="15"/>
        <v>2.8803208386276999</v>
      </c>
      <c r="J39" s="89">
        <f t="shared" si="15"/>
        <v>2.8803208386276999</v>
      </c>
      <c r="K39" s="89">
        <f t="shared" si="15"/>
        <v>2.8803208386276999</v>
      </c>
      <c r="L39" s="43"/>
      <c r="N39" s="47"/>
      <c r="O39" s="47"/>
      <c r="P39" s="47"/>
      <c r="Q39" s="47"/>
      <c r="R39" s="47"/>
      <c r="S39" s="47"/>
    </row>
    <row r="40" spans="1:19" x14ac:dyDescent="0.2">
      <c r="A40" s="47"/>
      <c r="B40" s="48"/>
      <c r="C40" s="48"/>
      <c r="D40" s="77"/>
      <c r="E40" s="77"/>
      <c r="F40" s="77"/>
      <c r="G40" s="77"/>
      <c r="H40" s="77"/>
      <c r="I40" s="77"/>
      <c r="J40" s="77"/>
      <c r="K40" s="77"/>
      <c r="L40" s="43"/>
      <c r="N40" s="47"/>
      <c r="O40" s="47"/>
      <c r="P40" s="47"/>
      <c r="Q40" s="47"/>
      <c r="R40" s="47"/>
      <c r="S40" s="47"/>
    </row>
    <row r="41" spans="1:19" x14ac:dyDescent="0.2">
      <c r="A41" s="47"/>
      <c r="B41" s="50" t="s">
        <v>85</v>
      </c>
      <c r="C41" s="54"/>
      <c r="D41" s="52"/>
      <c r="E41" s="52"/>
      <c r="F41" s="52"/>
      <c r="G41" s="52"/>
      <c r="H41" s="52"/>
      <c r="I41" s="52"/>
      <c r="J41" s="52"/>
      <c r="K41" s="52"/>
      <c r="L41" s="43"/>
      <c r="N41" s="47"/>
      <c r="O41" s="47"/>
      <c r="P41" s="47"/>
      <c r="Q41" s="47"/>
      <c r="R41" s="47"/>
      <c r="S41" s="47"/>
    </row>
    <row r="42" spans="1:19" x14ac:dyDescent="0.2">
      <c r="A42" s="47"/>
      <c r="B42" s="90" t="str">
        <f>+B32</f>
        <v>7360 W. Flamingo</v>
      </c>
      <c r="C42" s="85">
        <v>12592</v>
      </c>
      <c r="D42" s="56">
        <v>0</v>
      </c>
      <c r="E42" s="56">
        <v>0</v>
      </c>
      <c r="F42" s="56">
        <v>0</v>
      </c>
      <c r="G42" s="55">
        <v>159600</v>
      </c>
      <c r="H42" s="55">
        <v>159600</v>
      </c>
      <c r="I42" s="55">
        <v>159600</v>
      </c>
      <c r="J42" s="55">
        <v>159600</v>
      </c>
      <c r="K42" s="55">
        <v>159600</v>
      </c>
      <c r="L42" s="43"/>
      <c r="N42" s="47"/>
      <c r="O42" s="47"/>
      <c r="P42" s="47"/>
      <c r="Q42" s="47"/>
      <c r="R42" s="47"/>
      <c r="S42" s="47"/>
    </row>
    <row r="43" spans="1:19" x14ac:dyDescent="0.2">
      <c r="A43" s="47"/>
      <c r="B43" s="91" t="s">
        <v>151</v>
      </c>
      <c r="C43" s="72">
        <v>1280</v>
      </c>
      <c r="D43" s="92">
        <v>0</v>
      </c>
      <c r="E43" s="92">
        <v>0</v>
      </c>
      <c r="F43" s="92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43"/>
      <c r="N43" s="47"/>
      <c r="O43" s="47"/>
      <c r="P43" s="47"/>
      <c r="Q43" s="47"/>
      <c r="R43" s="47"/>
      <c r="S43" s="47"/>
    </row>
    <row r="44" spans="1:19" x14ac:dyDescent="0.2">
      <c r="A44" s="47"/>
      <c r="B44" s="91" t="s">
        <v>150</v>
      </c>
      <c r="C44" s="72">
        <v>1100</v>
      </c>
      <c r="D44" s="92">
        <v>0</v>
      </c>
      <c r="E44" s="92">
        <v>0</v>
      </c>
      <c r="F44" s="92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43"/>
      <c r="N44" s="47"/>
      <c r="O44" s="47"/>
      <c r="P44" s="47"/>
      <c r="Q44" s="47"/>
      <c r="R44" s="47"/>
      <c r="S44" s="47"/>
    </row>
    <row r="45" spans="1:19" ht="25.5" x14ac:dyDescent="0.2">
      <c r="A45" s="47"/>
      <c r="B45" s="182" t="s">
        <v>149</v>
      </c>
      <c r="C45" s="72">
        <v>1007</v>
      </c>
      <c r="D45" s="92">
        <v>0</v>
      </c>
      <c r="E45" s="92">
        <v>0</v>
      </c>
      <c r="F45" s="92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43"/>
      <c r="N45" s="47"/>
      <c r="O45" s="47"/>
      <c r="P45" s="47"/>
      <c r="Q45" s="47"/>
      <c r="R45" s="47"/>
      <c r="S45" s="47"/>
    </row>
    <row r="46" spans="1:19" x14ac:dyDescent="0.2">
      <c r="A46" s="47"/>
      <c r="B46" s="91" t="s">
        <v>152</v>
      </c>
      <c r="C46" s="72">
        <v>1386</v>
      </c>
      <c r="D46" s="92">
        <v>0</v>
      </c>
      <c r="E46" s="92">
        <v>0</v>
      </c>
      <c r="F46" s="92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43"/>
      <c r="N46" s="47"/>
      <c r="O46" s="47"/>
      <c r="P46" s="47"/>
      <c r="Q46" s="47"/>
      <c r="R46" s="47"/>
      <c r="S46" s="47"/>
    </row>
    <row r="47" spans="1:19" x14ac:dyDescent="0.2">
      <c r="A47" s="47"/>
      <c r="B47" s="91" t="s">
        <v>153</v>
      </c>
      <c r="C47" s="72">
        <v>5584</v>
      </c>
      <c r="D47" s="92">
        <v>0</v>
      </c>
      <c r="E47" s="92">
        <v>0</v>
      </c>
      <c r="F47" s="92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43"/>
      <c r="N47" s="47"/>
      <c r="O47" s="47"/>
      <c r="P47" s="47"/>
      <c r="Q47" s="47"/>
      <c r="R47" s="47"/>
      <c r="S47" s="47"/>
    </row>
    <row r="48" spans="1:19" x14ac:dyDescent="0.2">
      <c r="A48" s="47"/>
      <c r="B48" s="93">
        <f t="shared" ref="B48" si="16">+B34</f>
        <v>0</v>
      </c>
      <c r="C48" s="75"/>
      <c r="D48" s="95">
        <v>0</v>
      </c>
      <c r="E48" s="95">
        <v>0</v>
      </c>
      <c r="F48" s="95">
        <v>0</v>
      </c>
      <c r="G48" s="94"/>
      <c r="H48" s="94"/>
      <c r="I48" s="94"/>
      <c r="J48" s="94"/>
      <c r="K48" s="94"/>
      <c r="L48" s="43"/>
      <c r="N48" s="47"/>
      <c r="O48" s="47"/>
      <c r="P48" s="47"/>
      <c r="Q48" s="47"/>
      <c r="R48" s="47"/>
      <c r="S48" s="47"/>
    </row>
    <row r="49" spans="1:19" x14ac:dyDescent="0.2">
      <c r="A49" s="47"/>
      <c r="B49" s="48" t="s">
        <v>86</v>
      </c>
      <c r="C49" s="48">
        <f>SUM(C42:C48)</f>
        <v>22949</v>
      </c>
      <c r="D49" s="87">
        <f>SUM(D42:D48)</f>
        <v>0</v>
      </c>
      <c r="E49" s="87">
        <f t="shared" ref="E49:K49" si="17">SUM(E42:E48)</f>
        <v>0</v>
      </c>
      <c r="F49" s="87">
        <f t="shared" si="17"/>
        <v>0</v>
      </c>
      <c r="G49" s="87">
        <f t="shared" si="17"/>
        <v>159600</v>
      </c>
      <c r="H49" s="87">
        <f t="shared" si="17"/>
        <v>159600</v>
      </c>
      <c r="I49" s="87">
        <f t="shared" si="17"/>
        <v>159600</v>
      </c>
      <c r="J49" s="87">
        <f t="shared" si="17"/>
        <v>159600</v>
      </c>
      <c r="K49" s="87">
        <f t="shared" si="17"/>
        <v>159600</v>
      </c>
      <c r="L49" s="43"/>
      <c r="N49" s="47"/>
      <c r="O49" s="47"/>
      <c r="P49" s="47"/>
      <c r="Q49" s="47"/>
      <c r="R49" s="47"/>
      <c r="S49" s="47"/>
    </row>
    <row r="50" spans="1:19" x14ac:dyDescent="0.2">
      <c r="A50" s="47"/>
      <c r="B50" s="48"/>
      <c r="C50" s="48"/>
      <c r="D50" s="87"/>
      <c r="E50" s="87"/>
      <c r="F50" s="87"/>
      <c r="G50" s="87"/>
      <c r="H50" s="87"/>
      <c r="I50" s="87"/>
      <c r="J50" s="87"/>
      <c r="K50" s="87"/>
      <c r="L50" s="43"/>
      <c r="N50" s="47"/>
      <c r="O50" s="47"/>
      <c r="P50" s="47"/>
      <c r="Q50" s="47"/>
      <c r="R50" s="47"/>
      <c r="S50" s="47"/>
    </row>
    <row r="51" spans="1:19" x14ac:dyDescent="0.2">
      <c r="A51" s="47"/>
      <c r="B51" s="50" t="s">
        <v>87</v>
      </c>
      <c r="C51" s="51" t="s">
        <v>88</v>
      </c>
      <c r="D51" s="52"/>
      <c r="E51" s="52"/>
      <c r="F51" s="52"/>
      <c r="G51" s="52"/>
      <c r="H51" s="52"/>
      <c r="I51" s="52"/>
      <c r="J51" s="52"/>
      <c r="K51" s="52"/>
      <c r="L51" s="43"/>
      <c r="N51" s="47"/>
      <c r="O51" s="47"/>
      <c r="P51" s="47"/>
      <c r="Q51" s="47"/>
      <c r="R51" s="47"/>
      <c r="S51" s="47"/>
    </row>
    <row r="52" spans="1:19" x14ac:dyDescent="0.2">
      <c r="A52" s="47"/>
      <c r="B52" s="96" t="s">
        <v>89</v>
      </c>
      <c r="C52" s="97">
        <v>0.03</v>
      </c>
      <c r="D52" s="173">
        <f t="shared" ref="D52:K52" si="18">+$C$52*D17</f>
        <v>124995.03</v>
      </c>
      <c r="E52" s="173">
        <f t="shared" si="18"/>
        <v>116358.65399999999</v>
      </c>
      <c r="F52" s="173">
        <f t="shared" si="18"/>
        <v>115143.3</v>
      </c>
      <c r="G52" s="173">
        <f t="shared" si="18"/>
        <v>124508.48999999999</v>
      </c>
      <c r="H52" s="173">
        <f t="shared" si="18"/>
        <v>168206.22</v>
      </c>
      <c r="I52" s="173">
        <f t="shared" si="18"/>
        <v>182329.94999999998</v>
      </c>
      <c r="J52" s="173">
        <f t="shared" si="18"/>
        <v>193194.38999999998</v>
      </c>
      <c r="K52" s="173">
        <f t="shared" si="18"/>
        <v>200799.47999999998</v>
      </c>
      <c r="L52" s="43"/>
      <c r="N52" s="47"/>
      <c r="O52" s="47"/>
      <c r="P52" s="47"/>
      <c r="Q52" s="47"/>
      <c r="R52" s="47"/>
      <c r="S52" s="47"/>
    </row>
    <row r="53" spans="1:19" x14ac:dyDescent="0.2">
      <c r="L53" s="43"/>
      <c r="N53" s="47"/>
      <c r="O53" s="47"/>
      <c r="P53" s="47"/>
      <c r="Q53" s="47"/>
      <c r="R53" s="47"/>
      <c r="S53" s="47"/>
    </row>
    <row r="54" spans="1:19" x14ac:dyDescent="0.2">
      <c r="A54" s="47"/>
      <c r="B54" s="48" t="s">
        <v>90</v>
      </c>
      <c r="C54" s="48"/>
      <c r="D54" s="77"/>
      <c r="E54" s="77"/>
      <c r="F54" s="88">
        <f t="shared" ref="F54:K54" si="19">IFERROR(F49/F14,0)</f>
        <v>0</v>
      </c>
      <c r="G54" s="88">
        <f t="shared" si="19"/>
        <v>4.6693836472099265E-2</v>
      </c>
      <c r="H54" s="88">
        <f t="shared" si="19"/>
        <v>3.2741147991630082E-2</v>
      </c>
      <c r="I54" s="88">
        <f t="shared" si="19"/>
        <v>2.9857497795764614E-2</v>
      </c>
      <c r="J54" s="88">
        <f t="shared" si="19"/>
        <v>2.7963015233010233E-2</v>
      </c>
      <c r="K54" s="88">
        <f t="shared" si="19"/>
        <v>2.6773842559740395E-2</v>
      </c>
      <c r="L54" s="43"/>
      <c r="N54" s="47"/>
      <c r="O54" s="47"/>
      <c r="P54" s="47"/>
      <c r="Q54" s="47"/>
      <c r="R54" s="47"/>
      <c r="S54" s="47"/>
    </row>
    <row r="55" spans="1:19" x14ac:dyDescent="0.2">
      <c r="A55" s="47"/>
      <c r="B55" s="48" t="s">
        <v>91</v>
      </c>
      <c r="C55" s="48"/>
      <c r="D55" s="77"/>
      <c r="E55" s="89">
        <f t="shared" ref="E55:K55" si="20">IFERROR(E42/$C$32/12,0)</f>
        <v>0</v>
      </c>
      <c r="F55" s="89">
        <f t="shared" si="20"/>
        <v>0</v>
      </c>
      <c r="G55" s="89">
        <f t="shared" si="20"/>
        <v>1.0562261753494282</v>
      </c>
      <c r="H55" s="89">
        <f t="shared" si="20"/>
        <v>1.0562261753494282</v>
      </c>
      <c r="I55" s="89">
        <f t="shared" si="20"/>
        <v>1.0562261753494282</v>
      </c>
      <c r="J55" s="89">
        <f t="shared" si="20"/>
        <v>1.0562261753494282</v>
      </c>
      <c r="K55" s="89">
        <f t="shared" si="20"/>
        <v>1.0562261753494282</v>
      </c>
      <c r="L55" s="43"/>
      <c r="N55" s="47"/>
      <c r="O55" s="47"/>
      <c r="P55" s="47"/>
      <c r="Q55" s="47"/>
      <c r="R55" s="47"/>
      <c r="S55" s="47"/>
    </row>
    <row r="56" spans="1:19" x14ac:dyDescent="0.2">
      <c r="A56" s="47"/>
      <c r="B56" s="48" t="s">
        <v>91</v>
      </c>
      <c r="C56" s="48"/>
      <c r="D56" s="77"/>
      <c r="E56" s="89">
        <f t="shared" ref="E56:K56" si="21">IFERROR(E43/$C$33/12,0)</f>
        <v>0</v>
      </c>
      <c r="F56" s="89">
        <f t="shared" si="21"/>
        <v>0</v>
      </c>
      <c r="G56" s="89">
        <f t="shared" si="21"/>
        <v>0</v>
      </c>
      <c r="H56" s="89">
        <f t="shared" si="21"/>
        <v>0</v>
      </c>
      <c r="I56" s="89">
        <f t="shared" si="21"/>
        <v>0</v>
      </c>
      <c r="J56" s="89">
        <f t="shared" si="21"/>
        <v>0</v>
      </c>
      <c r="K56" s="89">
        <f t="shared" si="21"/>
        <v>0</v>
      </c>
      <c r="L56" s="43"/>
      <c r="N56" s="47"/>
      <c r="O56" s="47"/>
      <c r="P56" s="47"/>
      <c r="Q56" s="47"/>
      <c r="R56" s="47"/>
      <c r="S56" s="47"/>
    </row>
    <row r="57" spans="1:19" s="103" customFormat="1" ht="13.5" x14ac:dyDescent="0.25">
      <c r="A57" s="98"/>
      <c r="B57" s="99" t="s">
        <v>145</v>
      </c>
      <c r="C57" s="99"/>
      <c r="D57" s="100"/>
      <c r="E57" s="101"/>
      <c r="F57" s="101"/>
      <c r="G57" s="101"/>
      <c r="H57" s="101"/>
      <c r="I57" s="101"/>
      <c r="J57" s="101"/>
      <c r="K57" s="101"/>
      <c r="L57" s="102"/>
      <c r="N57" s="98"/>
      <c r="O57" s="98"/>
      <c r="P57" s="98"/>
      <c r="Q57" s="98"/>
      <c r="R57" s="98"/>
      <c r="S57" s="98"/>
    </row>
    <row r="58" spans="1:19" s="103" customFormat="1" ht="13.5" x14ac:dyDescent="0.25">
      <c r="A58" s="98"/>
      <c r="B58" s="99" t="s">
        <v>144</v>
      </c>
      <c r="C58" s="99"/>
      <c r="D58" s="100"/>
      <c r="E58" s="101"/>
      <c r="F58" s="101"/>
      <c r="G58" s="101"/>
      <c r="H58" s="101"/>
      <c r="I58" s="101"/>
      <c r="J58" s="101"/>
      <c r="K58" s="101"/>
      <c r="L58" s="102"/>
      <c r="N58" s="98"/>
      <c r="O58" s="98"/>
      <c r="P58" s="98"/>
      <c r="Q58" s="98"/>
      <c r="R58" s="98"/>
      <c r="S58" s="98"/>
    </row>
    <row r="59" spans="1:19" x14ac:dyDescent="0.2">
      <c r="A59" s="47"/>
      <c r="B59" s="48"/>
      <c r="C59" s="48"/>
      <c r="D59" s="77"/>
      <c r="E59" s="89"/>
      <c r="F59" s="89"/>
      <c r="G59" s="89"/>
      <c r="H59" s="89"/>
      <c r="I59" s="89"/>
      <c r="J59" s="89"/>
      <c r="K59" s="89"/>
      <c r="L59" s="43"/>
      <c r="N59" s="47"/>
      <c r="O59" s="47"/>
      <c r="P59" s="47"/>
      <c r="Q59" s="47"/>
      <c r="R59" s="47"/>
      <c r="S59" s="47"/>
    </row>
    <row r="60" spans="1:19" x14ac:dyDescent="0.2">
      <c r="A60" s="47"/>
      <c r="B60" s="48" t="s">
        <v>92</v>
      </c>
      <c r="C60" s="48"/>
      <c r="D60" s="48"/>
      <c r="E60" s="48"/>
      <c r="F60" s="104">
        <f t="shared" ref="F60:K60" si="22">+F27-F35</f>
        <v>176220.50832612021</v>
      </c>
      <c r="G60" s="104">
        <f t="shared" si="22"/>
        <v>178243.54129383806</v>
      </c>
      <c r="H60" s="104">
        <f t="shared" si="22"/>
        <v>565207.50800459553</v>
      </c>
      <c r="I60" s="104">
        <f t="shared" si="22"/>
        <v>997945.78728347458</v>
      </c>
      <c r="J60" s="104">
        <f t="shared" si="22"/>
        <v>1265449.1718590865</v>
      </c>
      <c r="K60" s="104">
        <f t="shared" si="22"/>
        <v>1434053.8572592707</v>
      </c>
      <c r="L60" s="43"/>
      <c r="N60" s="47"/>
      <c r="O60" s="47"/>
      <c r="P60" s="47"/>
      <c r="Q60" s="47"/>
      <c r="R60" s="47"/>
      <c r="S60" s="47"/>
    </row>
    <row r="61" spans="1:19" x14ac:dyDescent="0.2">
      <c r="A61" s="47"/>
      <c r="B61" s="48" t="s">
        <v>93</v>
      </c>
      <c r="C61" s="48"/>
      <c r="D61" s="48"/>
      <c r="E61" s="48"/>
      <c r="F61" s="48">
        <f t="shared" ref="F61:K61" si="23">+F27-F49</f>
        <v>395448.50832612021</v>
      </c>
      <c r="G61" s="48">
        <f t="shared" si="23"/>
        <v>345871.54129383806</v>
      </c>
      <c r="H61" s="48">
        <f t="shared" si="23"/>
        <v>840835.50800459553</v>
      </c>
      <c r="I61" s="48">
        <f t="shared" si="23"/>
        <v>1273573.7872834746</v>
      </c>
      <c r="J61" s="48">
        <f t="shared" si="23"/>
        <v>1541077.1718590865</v>
      </c>
      <c r="K61" s="48">
        <f t="shared" si="23"/>
        <v>1709681.8572592707</v>
      </c>
      <c r="L61" s="43"/>
      <c r="N61" s="47"/>
      <c r="O61" s="47"/>
      <c r="P61" s="47"/>
      <c r="Q61" s="47"/>
      <c r="R61" s="47"/>
      <c r="S61" s="47"/>
    </row>
    <row r="62" spans="1:19" x14ac:dyDescent="0.2">
      <c r="A62" s="47"/>
      <c r="B62" s="59" t="s">
        <v>94</v>
      </c>
      <c r="C62" s="59"/>
      <c r="D62" s="59"/>
      <c r="E62" s="59"/>
      <c r="F62" s="105">
        <f>+F61-F60</f>
        <v>219228</v>
      </c>
      <c r="G62" s="105">
        <f t="shared" ref="G62:K62" si="24">+G61-G60</f>
        <v>167628</v>
      </c>
      <c r="H62" s="105">
        <f t="shared" si="24"/>
        <v>275628</v>
      </c>
      <c r="I62" s="105">
        <f t="shared" si="24"/>
        <v>275628</v>
      </c>
      <c r="J62" s="105">
        <f t="shared" si="24"/>
        <v>275628</v>
      </c>
      <c r="K62" s="105">
        <f t="shared" si="24"/>
        <v>275628</v>
      </c>
      <c r="L62" s="43"/>
      <c r="N62" s="47"/>
      <c r="O62" s="47"/>
      <c r="P62" s="47"/>
      <c r="Q62" s="47"/>
      <c r="R62" s="47"/>
      <c r="S62" s="47"/>
    </row>
    <row r="63" spans="1:19" x14ac:dyDescent="0.2">
      <c r="A63" s="47"/>
      <c r="B63" s="80" t="s">
        <v>95</v>
      </c>
      <c r="C63" s="48"/>
      <c r="D63" s="106">
        <f t="shared" ref="D63:K63" si="25">IFERROR(D62/D32,0)</f>
        <v>0</v>
      </c>
      <c r="E63" s="106">
        <f t="shared" si="25"/>
        <v>0</v>
      </c>
      <c r="F63" s="106">
        <f t="shared" si="25"/>
        <v>1</v>
      </c>
      <c r="G63" s="106">
        <f t="shared" si="25"/>
        <v>0.76462860583502112</v>
      </c>
      <c r="H63" s="106">
        <f t="shared" si="25"/>
        <v>1.2572664075756745</v>
      </c>
      <c r="I63" s="106">
        <f t="shared" si="25"/>
        <v>1.2572664075756745</v>
      </c>
      <c r="J63" s="106">
        <f t="shared" si="25"/>
        <v>1.2572664075756745</v>
      </c>
      <c r="K63" s="106">
        <f t="shared" si="25"/>
        <v>1.2572664075756745</v>
      </c>
      <c r="L63" s="48"/>
      <c r="M63" s="47"/>
      <c r="N63" s="47"/>
      <c r="O63" s="47"/>
      <c r="P63" s="47"/>
      <c r="Q63" s="47"/>
      <c r="R63" s="47"/>
      <c r="S63" s="47"/>
    </row>
    <row r="64" spans="1:19" x14ac:dyDescent="0.2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N64" s="47"/>
      <c r="O64" s="47"/>
      <c r="P64" s="47"/>
      <c r="Q64" s="47"/>
      <c r="R64" s="47"/>
      <c r="S64" s="47"/>
    </row>
    <row r="65" spans="1:19" x14ac:dyDescent="0.2">
      <c r="A65" s="47"/>
      <c r="B65" s="48" t="s">
        <v>92</v>
      </c>
      <c r="C65" s="48"/>
      <c r="D65" s="48"/>
      <c r="E65" s="48"/>
      <c r="F65" s="107">
        <f t="shared" ref="F65:K65" si="26">+F60</f>
        <v>176220.50832612021</v>
      </c>
      <c r="G65" s="104">
        <f t="shared" si="26"/>
        <v>178243.54129383806</v>
      </c>
      <c r="H65" s="104">
        <f t="shared" si="26"/>
        <v>565207.50800459553</v>
      </c>
      <c r="I65" s="104">
        <f t="shared" si="26"/>
        <v>997945.78728347458</v>
      </c>
      <c r="J65" s="104">
        <f t="shared" si="26"/>
        <v>1265449.1718590865</v>
      </c>
      <c r="K65" s="104">
        <f t="shared" si="26"/>
        <v>1434053.8572592707</v>
      </c>
      <c r="L65" s="48"/>
      <c r="M65" s="47"/>
      <c r="N65" s="47"/>
      <c r="O65" s="47"/>
      <c r="P65" s="47"/>
      <c r="Q65" s="47"/>
      <c r="R65" s="47"/>
      <c r="S65" s="47"/>
    </row>
    <row r="66" spans="1:19" x14ac:dyDescent="0.2">
      <c r="A66" s="47"/>
      <c r="B66" s="48" t="s">
        <v>96</v>
      </c>
      <c r="C66" s="48"/>
      <c r="D66" s="48"/>
      <c r="E66" s="48"/>
      <c r="F66" s="108">
        <f t="shared" ref="F66:K66" si="27">+F27-F49-F52</f>
        <v>280305.20832612022</v>
      </c>
      <c r="G66" s="108">
        <f t="shared" si="27"/>
        <v>221363.05129383807</v>
      </c>
      <c r="H66" s="108">
        <f t="shared" si="27"/>
        <v>672629.28800459555</v>
      </c>
      <c r="I66" s="108">
        <f t="shared" si="27"/>
        <v>1091243.8372834746</v>
      </c>
      <c r="J66" s="108">
        <f t="shared" si="27"/>
        <v>1347882.7818590866</v>
      </c>
      <c r="K66" s="108">
        <f t="shared" si="27"/>
        <v>1508882.3772592708</v>
      </c>
      <c r="L66" s="47"/>
      <c r="M66" s="47"/>
      <c r="N66" s="47"/>
      <c r="O66" s="47"/>
      <c r="P66" s="47"/>
      <c r="Q66" s="47"/>
      <c r="R66" s="47"/>
      <c r="S66" s="47"/>
    </row>
    <row r="67" spans="1:19" x14ac:dyDescent="0.2">
      <c r="A67" s="47"/>
      <c r="B67" s="59" t="s">
        <v>94</v>
      </c>
      <c r="C67" s="59"/>
      <c r="D67" s="59"/>
      <c r="E67" s="59"/>
      <c r="F67" s="105">
        <f>+F66-F65</f>
        <v>104084.70000000001</v>
      </c>
      <c r="G67" s="105">
        <f t="shared" ref="G67:K67" si="28">+G66-G65</f>
        <v>43119.510000000009</v>
      </c>
      <c r="H67" s="105">
        <f t="shared" si="28"/>
        <v>107421.78000000003</v>
      </c>
      <c r="I67" s="105">
        <f t="shared" si="28"/>
        <v>93298.050000000047</v>
      </c>
      <c r="J67" s="105">
        <f t="shared" si="28"/>
        <v>82433.610000000102</v>
      </c>
      <c r="K67" s="105">
        <f t="shared" si="28"/>
        <v>74828.520000000019</v>
      </c>
      <c r="L67" s="47"/>
      <c r="M67" s="47"/>
      <c r="N67" s="47"/>
      <c r="O67" s="47"/>
      <c r="P67" s="47"/>
      <c r="Q67" s="47"/>
      <c r="R67" s="47"/>
      <c r="S67" s="47"/>
    </row>
    <row r="68" spans="1:19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x14ac:dyDescent="0.2">
      <c r="A69" s="47"/>
      <c r="B69" s="172" t="s">
        <v>133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</sheetData>
  <phoneticPr fontId="4" type="noConversion"/>
  <hyperlinks>
    <hyperlink ref="F81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view="pageBreakPreview" zoomScale="115" zoomScaleNormal="115" zoomScaleSheetLayoutView="115" workbookViewId="0">
      <selection activeCell="F41" sqref="F41"/>
    </sheetView>
  </sheetViews>
  <sheetFormatPr defaultColWidth="9.140625" defaultRowHeight="12.75" x14ac:dyDescent="0.2"/>
  <cols>
    <col min="1" max="1" width="5.140625" style="39" customWidth="1"/>
    <col min="2" max="2" width="9.140625" style="39"/>
    <col min="3" max="5" width="10" style="39" customWidth="1"/>
    <col min="6" max="6" width="13.28515625" style="39" customWidth="1"/>
    <col min="7" max="8" width="10.140625" style="39" bestFit="1" customWidth="1"/>
    <col min="9" max="12" width="9.140625" style="39"/>
    <col min="13" max="13" width="1.42578125" style="39" customWidth="1"/>
    <col min="14" max="16384" width="9.140625" style="39"/>
  </cols>
  <sheetData>
    <row r="1" spans="1:15" ht="18" x14ac:dyDescent="0.25">
      <c r="A1" s="38" t="s">
        <v>97</v>
      </c>
      <c r="B1" s="38"/>
      <c r="C1" s="38"/>
      <c r="E1" s="171" t="s">
        <v>131</v>
      </c>
    </row>
    <row r="2" spans="1:15" ht="15.75" x14ac:dyDescent="0.25">
      <c r="A2" s="41" t="str">
        <f>'Pro Forma'!A2</f>
        <v>Beacon Academy</v>
      </c>
      <c r="B2" s="42"/>
      <c r="C2" s="42"/>
    </row>
    <row r="3" spans="1:15" x14ac:dyDescent="0.2">
      <c r="A3" s="44" t="s">
        <v>0</v>
      </c>
    </row>
    <row r="4" spans="1:15" x14ac:dyDescent="0.2">
      <c r="A4" s="45" t="s">
        <v>1</v>
      </c>
    </row>
    <row r="5" spans="1:15" x14ac:dyDescent="0.2">
      <c r="A5" s="46"/>
    </row>
    <row r="6" spans="1:1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.75" x14ac:dyDescent="0.2">
      <c r="A7" s="47"/>
      <c r="B7" s="109" t="s">
        <v>98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 x14ac:dyDescent="0.2">
      <c r="B8" s="110" t="s">
        <v>99</v>
      </c>
      <c r="F8" s="111">
        <v>2014</v>
      </c>
      <c r="G8" s="47"/>
      <c r="J8" s="47"/>
      <c r="K8" s="47"/>
      <c r="L8" s="47"/>
      <c r="M8" s="47"/>
    </row>
    <row r="9" spans="1:15" ht="15.75" x14ac:dyDescent="0.2">
      <c r="B9" s="110"/>
      <c r="C9" s="112"/>
      <c r="D9" s="113"/>
      <c r="E9" s="113"/>
      <c r="G9" s="47"/>
      <c r="J9" s="47"/>
      <c r="K9" s="47"/>
      <c r="L9" s="47"/>
      <c r="M9" s="47"/>
    </row>
    <row r="10" spans="1:15" x14ac:dyDescent="0.2">
      <c r="B10" s="114"/>
      <c r="D10" s="47"/>
      <c r="E10" s="47"/>
      <c r="F10" s="47"/>
      <c r="G10" s="47"/>
      <c r="J10" s="47"/>
      <c r="K10" s="47"/>
      <c r="L10" s="47"/>
      <c r="M10" s="47"/>
    </row>
    <row r="11" spans="1:15" ht="15.75" x14ac:dyDescent="0.2">
      <c r="B11" s="115" t="s">
        <v>100</v>
      </c>
      <c r="C11" s="48"/>
      <c r="D11" s="43"/>
      <c r="E11" s="43"/>
      <c r="F11" s="43"/>
      <c r="G11" s="43"/>
      <c r="H11" s="43"/>
      <c r="I11" s="43"/>
      <c r="J11" s="43"/>
      <c r="K11" s="43"/>
      <c r="M11" s="47"/>
    </row>
    <row r="12" spans="1:15" x14ac:dyDescent="0.2">
      <c r="B12" s="116"/>
      <c r="C12" s="48"/>
      <c r="D12" s="43"/>
      <c r="E12" s="43"/>
      <c r="F12" s="43"/>
      <c r="G12" s="43"/>
      <c r="H12" s="43"/>
      <c r="I12" s="43"/>
      <c r="J12" s="43"/>
      <c r="K12" s="43"/>
      <c r="M12" s="47"/>
    </row>
    <row r="13" spans="1:15" x14ac:dyDescent="0.2">
      <c r="B13" s="116"/>
      <c r="C13" s="117">
        <v>1</v>
      </c>
      <c r="D13" s="117">
        <f>1+C13</f>
        <v>2</v>
      </c>
      <c r="E13" s="117">
        <f t="shared" ref="E13:H13" si="0">1+D13</f>
        <v>3</v>
      </c>
      <c r="F13" s="117">
        <f t="shared" si="0"/>
        <v>4</v>
      </c>
      <c r="G13" s="117">
        <f t="shared" si="0"/>
        <v>5</v>
      </c>
      <c r="H13" s="117">
        <f t="shared" si="0"/>
        <v>6</v>
      </c>
      <c r="I13" s="43"/>
      <c r="J13" s="43"/>
      <c r="K13" s="43"/>
      <c r="M13" s="47"/>
    </row>
    <row r="14" spans="1:15" ht="14.25" x14ac:dyDescent="0.2">
      <c r="B14" s="118" t="s">
        <v>101</v>
      </c>
      <c r="C14" s="119">
        <f>+F8</f>
        <v>2014</v>
      </c>
      <c r="D14" s="120">
        <f>+C14+1</f>
        <v>2015</v>
      </c>
      <c r="E14" s="120">
        <f t="shared" ref="E14:H14" si="1">+D14+1</f>
        <v>2016</v>
      </c>
      <c r="F14" s="120">
        <f t="shared" si="1"/>
        <v>2017</v>
      </c>
      <c r="G14" s="120">
        <f t="shared" si="1"/>
        <v>2018</v>
      </c>
      <c r="H14" s="121">
        <f t="shared" si="1"/>
        <v>2019</v>
      </c>
      <c r="I14" s="43"/>
      <c r="J14" s="43"/>
      <c r="K14" s="43"/>
      <c r="M14" s="47"/>
    </row>
    <row r="15" spans="1:15" ht="15" x14ac:dyDescent="0.2">
      <c r="B15" s="122" t="s">
        <v>102</v>
      </c>
      <c r="C15" s="123">
        <v>3</v>
      </c>
      <c r="D15" s="123">
        <v>3</v>
      </c>
      <c r="E15" s="123">
        <v>3</v>
      </c>
      <c r="F15" s="123">
        <v>1</v>
      </c>
      <c r="G15" s="123">
        <v>1</v>
      </c>
      <c r="H15" s="124">
        <v>1</v>
      </c>
      <c r="I15" s="43"/>
      <c r="J15" s="43"/>
      <c r="K15" s="43"/>
      <c r="M15" s="47"/>
    </row>
    <row r="16" spans="1:15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7"/>
      <c r="O16" s="125" t="s">
        <v>103</v>
      </c>
    </row>
    <row r="17" spans="1:15" ht="15.75" x14ac:dyDescent="0.2">
      <c r="B17" s="115" t="s">
        <v>104</v>
      </c>
      <c r="C17" s="43"/>
      <c r="D17" s="48"/>
      <c r="E17" s="48"/>
      <c r="F17" s="48"/>
      <c r="G17" s="48"/>
      <c r="H17" s="48"/>
      <c r="I17" s="48"/>
      <c r="J17" s="48"/>
      <c r="K17" s="48"/>
      <c r="L17" s="126"/>
      <c r="M17" s="47"/>
      <c r="O17" s="125" t="s">
        <v>105</v>
      </c>
    </row>
    <row r="18" spans="1:15" ht="13.5" thickBot="1" x14ac:dyDescent="0.25">
      <c r="B18" s="43"/>
      <c r="C18" s="116"/>
      <c r="D18" s="48"/>
      <c r="E18" s="48"/>
      <c r="F18" s="48"/>
      <c r="G18" s="48"/>
      <c r="H18" s="48"/>
      <c r="I18" s="48"/>
      <c r="J18" s="48"/>
      <c r="K18" s="48"/>
      <c r="L18" s="126"/>
      <c r="M18" s="47"/>
      <c r="O18" s="125" t="s">
        <v>106</v>
      </c>
    </row>
    <row r="19" spans="1:15" ht="13.5" thickBot="1" x14ac:dyDescent="0.25">
      <c r="B19" s="127" t="s">
        <v>101</v>
      </c>
      <c r="C19" s="128" t="s">
        <v>107</v>
      </c>
      <c r="D19" s="129"/>
      <c r="E19" s="129"/>
      <c r="F19" s="129"/>
      <c r="G19" s="129"/>
      <c r="H19" s="129"/>
      <c r="I19" s="130"/>
      <c r="J19" s="131" t="s">
        <v>108</v>
      </c>
      <c r="K19" s="132"/>
      <c r="L19" s="133"/>
      <c r="M19" s="47"/>
      <c r="O19" s="125" t="s">
        <v>109</v>
      </c>
    </row>
    <row r="20" spans="1:15" x14ac:dyDescent="0.2">
      <c r="B20" s="134"/>
      <c r="C20" s="135" t="s">
        <v>110</v>
      </c>
      <c r="D20" s="136" t="s">
        <v>111</v>
      </c>
      <c r="E20" s="136" t="s">
        <v>112</v>
      </c>
      <c r="F20" s="136" t="s">
        <v>113</v>
      </c>
      <c r="G20" s="136" t="s">
        <v>114</v>
      </c>
      <c r="H20" s="136" t="s">
        <v>115</v>
      </c>
      <c r="I20" s="137" t="s">
        <v>116</v>
      </c>
      <c r="J20" s="135" t="s">
        <v>117</v>
      </c>
      <c r="K20" s="136" t="s">
        <v>118</v>
      </c>
      <c r="L20" s="138" t="s">
        <v>119</v>
      </c>
      <c r="M20" s="47"/>
      <c r="O20" s="125" t="s">
        <v>120</v>
      </c>
    </row>
    <row r="21" spans="1:15" x14ac:dyDescent="0.2">
      <c r="A21" s="139"/>
      <c r="B21" s="140">
        <f>+F8</f>
        <v>2014</v>
      </c>
      <c r="C21" s="141">
        <v>4.9689440993788817E-2</v>
      </c>
      <c r="D21" s="141">
        <v>0</v>
      </c>
      <c r="E21" s="141">
        <v>0.72049689440993792</v>
      </c>
      <c r="F21" s="141">
        <v>0.16149068322981366</v>
      </c>
      <c r="G21" s="141">
        <v>0</v>
      </c>
      <c r="H21" s="141">
        <v>6.2111801242236024E-2</v>
      </c>
      <c r="I21" s="141">
        <v>6.2111801242236021E-3</v>
      </c>
      <c r="J21" s="141">
        <v>0</v>
      </c>
      <c r="K21" s="141">
        <v>6.2111801242236024E-2</v>
      </c>
      <c r="L21" s="142">
        <v>6.2111801242236021E-3</v>
      </c>
      <c r="M21" s="47"/>
      <c r="O21" s="125" t="s">
        <v>121</v>
      </c>
    </row>
    <row r="22" spans="1:15" x14ac:dyDescent="0.2">
      <c r="B22" s="140">
        <f>+B21+1</f>
        <v>2015</v>
      </c>
      <c r="C22" s="143">
        <v>5.1118210862619806E-2</v>
      </c>
      <c r="D22" s="143">
        <v>6.3897763578274758E-3</v>
      </c>
      <c r="E22" s="143">
        <v>0.74281150159744413</v>
      </c>
      <c r="F22" s="143">
        <v>0.12939297124600638</v>
      </c>
      <c r="G22" s="143">
        <v>3.1948881789137379E-3</v>
      </c>
      <c r="H22" s="143">
        <v>6.0702875399361013E-2</v>
      </c>
      <c r="I22" s="143">
        <v>6.3897763578274758E-3</v>
      </c>
      <c r="J22" s="143">
        <v>6.5495207667731634E-2</v>
      </c>
      <c r="K22" s="143">
        <v>9.2651757188498399E-2</v>
      </c>
      <c r="L22" s="144">
        <v>7.9872204472843447E-3</v>
      </c>
      <c r="M22" s="47"/>
      <c r="O22" s="125" t="s">
        <v>122</v>
      </c>
    </row>
    <row r="23" spans="1:15" x14ac:dyDescent="0.2">
      <c r="B23" s="140">
        <f t="shared" ref="B23:B26" si="2">+B22+1</f>
        <v>2016</v>
      </c>
      <c r="C23" s="143">
        <v>3.6999999999999998E-2</v>
      </c>
      <c r="D23" s="143">
        <v>0.113</v>
      </c>
      <c r="E23" s="143">
        <v>0.443</v>
      </c>
      <c r="F23" s="143">
        <v>0.33200000000000002</v>
      </c>
      <c r="G23" s="143">
        <v>0</v>
      </c>
      <c r="H23" s="143">
        <v>0.06</v>
      </c>
      <c r="I23" s="143">
        <v>2.1999999999999999E-2</v>
      </c>
      <c r="J23" s="143">
        <v>0.46</v>
      </c>
      <c r="K23" s="143">
        <v>0.12</v>
      </c>
      <c r="L23" s="144">
        <v>0</v>
      </c>
      <c r="M23" s="47"/>
      <c r="O23" s="125" t="s">
        <v>123</v>
      </c>
    </row>
    <row r="24" spans="1:15" x14ac:dyDescent="0.2">
      <c r="B24" s="140">
        <f t="shared" si="2"/>
        <v>2017</v>
      </c>
      <c r="C24" s="143">
        <v>0</v>
      </c>
      <c r="D24" s="143">
        <v>0.124</v>
      </c>
      <c r="E24" s="143">
        <v>0.433</v>
      </c>
      <c r="F24" s="143">
        <v>0.31</v>
      </c>
      <c r="G24" s="143">
        <v>0</v>
      </c>
      <c r="H24" s="143">
        <v>0.06</v>
      </c>
      <c r="I24" s="143">
        <v>0</v>
      </c>
      <c r="J24" s="143">
        <v>0.3</v>
      </c>
      <c r="K24" s="143">
        <v>0.15</v>
      </c>
      <c r="L24" s="144">
        <v>0.04</v>
      </c>
      <c r="M24" s="47"/>
      <c r="O24" s="125"/>
    </row>
    <row r="25" spans="1:15" x14ac:dyDescent="0.2">
      <c r="B25" s="140">
        <f t="shared" si="2"/>
        <v>2018</v>
      </c>
      <c r="C25" s="143">
        <v>3.6999999999999998E-2</v>
      </c>
      <c r="D25" s="143">
        <v>0.17899999999999999</v>
      </c>
      <c r="E25" s="143">
        <v>0.33600000000000002</v>
      </c>
      <c r="F25" s="143">
        <v>0.375</v>
      </c>
      <c r="G25" s="143">
        <v>9.9000000000000008E-3</v>
      </c>
      <c r="H25" s="143">
        <v>0.05</v>
      </c>
      <c r="I25" s="143">
        <v>3.1E-2</v>
      </c>
      <c r="J25" s="143">
        <v>0.56999999999999995</v>
      </c>
      <c r="K25" s="143">
        <v>0.18</v>
      </c>
      <c r="L25" s="144">
        <v>0.1</v>
      </c>
      <c r="M25" s="47"/>
      <c r="O25" s="125"/>
    </row>
    <row r="26" spans="1:15" x14ac:dyDescent="0.2">
      <c r="B26" s="145">
        <f t="shared" si="2"/>
        <v>2019</v>
      </c>
      <c r="C26" s="146">
        <v>0</v>
      </c>
      <c r="D26" s="146">
        <v>0.153</v>
      </c>
      <c r="E26" s="146">
        <v>0.28199999999999997</v>
      </c>
      <c r="F26" s="146">
        <v>0.435</v>
      </c>
      <c r="G26" s="146">
        <v>0</v>
      </c>
      <c r="H26" s="146">
        <v>0.06</v>
      </c>
      <c r="I26" s="146">
        <v>2.7E-2</v>
      </c>
      <c r="J26" s="146">
        <v>0.66</v>
      </c>
      <c r="K26" s="146">
        <v>0.2</v>
      </c>
      <c r="L26" s="147">
        <v>0.13</v>
      </c>
      <c r="M26" s="47"/>
      <c r="O26" s="125" t="s">
        <v>124</v>
      </c>
    </row>
    <row r="27" spans="1:15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25"/>
      <c r="M27" s="47"/>
      <c r="O27" s="125" t="s">
        <v>125</v>
      </c>
    </row>
    <row r="28" spans="1:15" ht="15.75" x14ac:dyDescent="0.2">
      <c r="B28" s="115" t="s">
        <v>126</v>
      </c>
      <c r="C28" s="48"/>
      <c r="D28" s="48"/>
      <c r="E28" s="48"/>
      <c r="F28" s="48"/>
      <c r="G28" s="43"/>
      <c r="H28" s="43"/>
      <c r="I28" s="43"/>
      <c r="J28" s="43"/>
      <c r="K28" s="43"/>
      <c r="L28" s="125"/>
      <c r="M28" s="47"/>
    </row>
    <row r="29" spans="1:15" x14ac:dyDescent="0.2">
      <c r="B29" s="116"/>
      <c r="C29" s="48"/>
      <c r="D29" s="48"/>
      <c r="E29" s="48"/>
      <c r="F29" s="48"/>
      <c r="G29" s="43"/>
      <c r="H29" s="43"/>
      <c r="I29" s="43"/>
      <c r="J29" s="43"/>
      <c r="K29" s="43"/>
      <c r="L29" s="125"/>
    </row>
    <row r="30" spans="1:15" ht="14.25" x14ac:dyDescent="0.2">
      <c r="B30" s="148" t="s">
        <v>127</v>
      </c>
      <c r="C30" s="119">
        <f>+F8</f>
        <v>2014</v>
      </c>
      <c r="D30" s="119">
        <f>1+C30</f>
        <v>2015</v>
      </c>
      <c r="E30" s="119">
        <f t="shared" ref="E30:H30" si="3">1+D30</f>
        <v>2016</v>
      </c>
      <c r="F30" s="119">
        <f t="shared" si="3"/>
        <v>2017</v>
      </c>
      <c r="G30" s="119">
        <f t="shared" si="3"/>
        <v>2018</v>
      </c>
      <c r="H30" s="149">
        <f t="shared" si="3"/>
        <v>2019</v>
      </c>
      <c r="I30" s="43"/>
      <c r="J30" s="43"/>
      <c r="K30" s="43"/>
      <c r="L30" s="125"/>
    </row>
    <row r="31" spans="1:15" x14ac:dyDescent="0.2">
      <c r="B31" s="150" t="s">
        <v>128</v>
      </c>
      <c r="C31" s="151"/>
      <c r="D31" s="151"/>
      <c r="E31" s="151"/>
      <c r="F31" s="151"/>
      <c r="G31" s="151"/>
      <c r="H31" s="152"/>
      <c r="I31" s="43"/>
      <c r="J31" s="43"/>
      <c r="K31" s="43"/>
      <c r="L31" s="125"/>
    </row>
    <row r="32" spans="1:15" x14ac:dyDescent="0.2">
      <c r="B32" s="153">
        <v>9</v>
      </c>
      <c r="C32" s="154">
        <v>77</v>
      </c>
      <c r="D32" s="154">
        <v>51</v>
      </c>
      <c r="E32" s="154">
        <v>34</v>
      </c>
      <c r="F32" s="154">
        <v>23</v>
      </c>
      <c r="G32" s="154">
        <v>5</v>
      </c>
      <c r="H32" s="155">
        <v>5</v>
      </c>
      <c r="I32" s="43"/>
      <c r="J32" s="43"/>
      <c r="K32" s="43"/>
      <c r="L32" s="125"/>
    </row>
    <row r="33" spans="2:15" x14ac:dyDescent="0.2">
      <c r="B33" s="156" t="s">
        <v>148</v>
      </c>
      <c r="C33" s="157">
        <f t="shared" ref="C33:H33" si="4">+C32/C$50</f>
        <v>0.19154228855721392</v>
      </c>
      <c r="D33" s="157">
        <f t="shared" si="4"/>
        <v>9.3577981651376152E-2</v>
      </c>
      <c r="E33" s="157">
        <f t="shared" si="4"/>
        <v>8.2524271844660199E-2</v>
      </c>
      <c r="F33" s="157">
        <f t="shared" si="4"/>
        <v>5.721393034825871E-2</v>
      </c>
      <c r="G33" s="157">
        <f t="shared" si="4"/>
        <v>1.2987012987012988E-2</v>
      </c>
      <c r="H33" s="157">
        <f t="shared" si="4"/>
        <v>1.2345679012345678E-2</v>
      </c>
      <c r="I33" s="48"/>
      <c r="J33" s="48"/>
      <c r="K33" s="48"/>
      <c r="L33" s="126"/>
      <c r="M33" s="47"/>
      <c r="N33" s="47"/>
    </row>
    <row r="34" spans="2:15" x14ac:dyDescent="0.2">
      <c r="B34" s="156">
        <v>10</v>
      </c>
      <c r="C34" s="158">
        <v>117</v>
      </c>
      <c r="D34" s="158">
        <v>90</v>
      </c>
      <c r="E34" s="158">
        <v>82</v>
      </c>
      <c r="F34" s="158">
        <v>73</v>
      </c>
      <c r="G34" s="158">
        <v>37</v>
      </c>
      <c r="H34" s="159">
        <v>8</v>
      </c>
      <c r="I34" s="48"/>
      <c r="J34" s="48"/>
      <c r="K34" s="48"/>
      <c r="L34" s="126"/>
      <c r="M34" s="47"/>
      <c r="N34" s="47"/>
    </row>
    <row r="35" spans="2:15" x14ac:dyDescent="0.2">
      <c r="B35" s="156" t="s">
        <v>148</v>
      </c>
      <c r="C35" s="157">
        <f t="shared" ref="C35:H35" si="5">+C34/C$50</f>
        <v>0.29104477611940299</v>
      </c>
      <c r="D35" s="157">
        <f t="shared" si="5"/>
        <v>0.16513761467889909</v>
      </c>
      <c r="E35" s="157">
        <f t="shared" si="5"/>
        <v>0.19902912621359223</v>
      </c>
      <c r="F35" s="157">
        <f t="shared" si="5"/>
        <v>0.18159203980099503</v>
      </c>
      <c r="G35" s="157">
        <f t="shared" si="5"/>
        <v>9.6103896103896108E-2</v>
      </c>
      <c r="H35" s="157">
        <f t="shared" si="5"/>
        <v>1.9753086419753086E-2</v>
      </c>
      <c r="I35" s="48"/>
      <c r="J35" s="48"/>
      <c r="K35" s="48"/>
      <c r="L35" s="126"/>
      <c r="M35" s="47"/>
      <c r="N35" s="47"/>
    </row>
    <row r="36" spans="2:15" x14ac:dyDescent="0.2">
      <c r="B36" s="156">
        <v>11</v>
      </c>
      <c r="C36" s="158">
        <v>105</v>
      </c>
      <c r="D36" s="158">
        <v>164</v>
      </c>
      <c r="E36" s="158">
        <v>128</v>
      </c>
      <c r="F36" s="158">
        <v>123</v>
      </c>
      <c r="G36" s="158">
        <v>118</v>
      </c>
      <c r="H36" s="159">
        <v>99</v>
      </c>
      <c r="I36" s="48"/>
      <c r="J36" s="48"/>
      <c r="K36" s="48"/>
      <c r="L36" s="126"/>
      <c r="M36" s="47"/>
      <c r="N36" s="47"/>
    </row>
    <row r="37" spans="2:15" x14ac:dyDescent="0.2">
      <c r="B37" s="156" t="s">
        <v>148</v>
      </c>
      <c r="C37" s="157">
        <f t="shared" ref="C37:H37" si="6">+C36/C$50</f>
        <v>0.26119402985074625</v>
      </c>
      <c r="D37" s="157">
        <f t="shared" si="6"/>
        <v>0.30091743119266057</v>
      </c>
      <c r="E37" s="157">
        <f t="shared" si="6"/>
        <v>0.31067961165048541</v>
      </c>
      <c r="F37" s="157">
        <f t="shared" si="6"/>
        <v>0.30597014925373134</v>
      </c>
      <c r="G37" s="157">
        <f t="shared" si="6"/>
        <v>0.30649350649350648</v>
      </c>
      <c r="H37" s="157">
        <f t="shared" si="6"/>
        <v>0.24444444444444444</v>
      </c>
      <c r="I37" s="48"/>
      <c r="J37" s="48"/>
      <c r="K37" s="48"/>
      <c r="L37" s="126"/>
      <c r="M37" s="47"/>
      <c r="N37" s="47"/>
    </row>
    <row r="38" spans="2:15" x14ac:dyDescent="0.2">
      <c r="B38" s="156">
        <v>12</v>
      </c>
      <c r="C38" s="158">
        <v>103</v>
      </c>
      <c r="D38" s="158">
        <v>240</v>
      </c>
      <c r="E38" s="158">
        <v>168</v>
      </c>
      <c r="F38" s="158">
        <v>183</v>
      </c>
      <c r="G38" s="158">
        <v>225</v>
      </c>
      <c r="H38" s="159">
        <v>293</v>
      </c>
      <c r="I38" s="48"/>
      <c r="J38" s="48"/>
      <c r="K38" s="48"/>
      <c r="L38" s="126"/>
      <c r="M38" s="47"/>
      <c r="N38" s="47"/>
    </row>
    <row r="39" spans="2:15" x14ac:dyDescent="0.2">
      <c r="B39" s="156" t="s">
        <v>148</v>
      </c>
      <c r="C39" s="157">
        <f t="shared" ref="C39:H39" si="7">+C38/C$50</f>
        <v>0.25621890547263682</v>
      </c>
      <c r="D39" s="157">
        <f t="shared" si="7"/>
        <v>0.44036697247706424</v>
      </c>
      <c r="E39" s="157">
        <f t="shared" si="7"/>
        <v>0.40776699029126212</v>
      </c>
      <c r="F39" s="157">
        <f t="shared" si="7"/>
        <v>0.45522388059701491</v>
      </c>
      <c r="G39" s="157">
        <f t="shared" si="7"/>
        <v>0.58441558441558439</v>
      </c>
      <c r="H39" s="157">
        <f t="shared" si="7"/>
        <v>0.72345679012345676</v>
      </c>
      <c r="I39" s="48"/>
      <c r="J39" s="48"/>
      <c r="K39" s="48"/>
      <c r="L39" s="126"/>
      <c r="M39" s="47"/>
      <c r="N39" s="47"/>
    </row>
    <row r="40" spans="2:15" x14ac:dyDescent="0.2">
      <c r="B40" s="156"/>
      <c r="C40" s="158"/>
      <c r="D40" s="158"/>
      <c r="E40" s="158"/>
      <c r="F40" s="158"/>
      <c r="G40" s="158"/>
      <c r="H40" s="159">
        <v>0</v>
      </c>
      <c r="I40" s="48"/>
      <c r="J40" s="48"/>
      <c r="K40" s="48"/>
      <c r="L40" s="126"/>
      <c r="M40" s="47"/>
      <c r="N40" s="47"/>
      <c r="O40" s="47"/>
    </row>
    <row r="41" spans="2:15" x14ac:dyDescent="0.2">
      <c r="B41" s="156"/>
      <c r="C41" s="157"/>
      <c r="D41" s="157"/>
      <c r="E41" s="157"/>
      <c r="F41" s="157"/>
      <c r="G41" s="157"/>
      <c r="H41" s="160">
        <v>0</v>
      </c>
      <c r="I41" s="48"/>
      <c r="J41" s="48"/>
      <c r="K41" s="48"/>
      <c r="L41" s="126"/>
      <c r="M41" s="47"/>
      <c r="N41" s="47"/>
      <c r="O41" s="47"/>
    </row>
    <row r="42" spans="2:15" x14ac:dyDescent="0.2">
      <c r="B42" s="156"/>
      <c r="C42" s="158"/>
      <c r="D42" s="158"/>
      <c r="E42" s="158"/>
      <c r="F42" s="158"/>
      <c r="G42" s="158"/>
      <c r="H42" s="159">
        <v>0</v>
      </c>
      <c r="I42" s="48"/>
      <c r="J42" s="48"/>
      <c r="K42" s="48"/>
      <c r="L42" s="126"/>
      <c r="M42" s="47"/>
      <c r="N42" s="47"/>
      <c r="O42" s="47"/>
    </row>
    <row r="43" spans="2:15" x14ac:dyDescent="0.2">
      <c r="B43" s="156"/>
      <c r="C43" s="157"/>
      <c r="D43" s="157"/>
      <c r="E43" s="157"/>
      <c r="F43" s="157"/>
      <c r="G43" s="157"/>
      <c r="H43" s="160">
        <v>0</v>
      </c>
      <c r="I43" s="48"/>
      <c r="J43" s="48"/>
      <c r="K43" s="48"/>
      <c r="L43" s="126"/>
      <c r="M43" s="47"/>
      <c r="N43" s="47"/>
      <c r="O43" s="47"/>
    </row>
    <row r="44" spans="2:15" x14ac:dyDescent="0.2">
      <c r="B44" s="156"/>
      <c r="C44" s="158"/>
      <c r="D44" s="158"/>
      <c r="E44" s="158"/>
      <c r="F44" s="158"/>
      <c r="G44" s="158"/>
      <c r="H44" s="159">
        <v>0</v>
      </c>
      <c r="I44" s="48"/>
      <c r="J44" s="48"/>
      <c r="K44" s="48"/>
      <c r="L44" s="126"/>
      <c r="M44" s="47"/>
      <c r="N44" s="47"/>
      <c r="O44" s="47"/>
    </row>
    <row r="45" spans="2:15" x14ac:dyDescent="0.2">
      <c r="B45" s="156"/>
      <c r="C45" s="157"/>
      <c r="D45" s="157"/>
      <c r="E45" s="157"/>
      <c r="F45" s="157"/>
      <c r="G45" s="157"/>
      <c r="H45" s="160">
        <v>0</v>
      </c>
      <c r="I45" s="48"/>
      <c r="J45" s="48"/>
      <c r="K45" s="48"/>
      <c r="L45" s="126"/>
      <c r="M45" s="47"/>
      <c r="N45" s="47"/>
      <c r="O45" s="47"/>
    </row>
    <row r="46" spans="2:15" x14ac:dyDescent="0.2">
      <c r="B46" s="156"/>
      <c r="C46" s="158"/>
      <c r="D46" s="158"/>
      <c r="E46" s="158"/>
      <c r="F46" s="158"/>
      <c r="G46" s="158"/>
      <c r="H46" s="159">
        <v>0</v>
      </c>
      <c r="I46" s="48"/>
      <c r="J46" s="48"/>
      <c r="K46" s="48"/>
      <c r="L46" s="126"/>
      <c r="M46" s="47"/>
      <c r="N46" s="47"/>
    </row>
    <row r="47" spans="2:15" x14ac:dyDescent="0.2">
      <c r="B47" s="161"/>
      <c r="C47" s="157"/>
      <c r="D47" s="157"/>
      <c r="E47" s="157"/>
      <c r="F47" s="157"/>
      <c r="G47" s="157"/>
      <c r="H47" s="160">
        <v>0</v>
      </c>
      <c r="I47" s="48"/>
      <c r="J47" s="48"/>
      <c r="K47" s="48"/>
      <c r="L47" s="126"/>
      <c r="M47" s="47"/>
      <c r="N47" s="47"/>
    </row>
    <row r="48" spans="2:15" x14ac:dyDescent="0.2">
      <c r="B48" s="156"/>
      <c r="C48" s="158"/>
      <c r="D48" s="158"/>
      <c r="E48" s="158"/>
      <c r="F48" s="158"/>
      <c r="G48" s="158"/>
      <c r="H48" s="159">
        <v>0</v>
      </c>
      <c r="I48" s="48"/>
      <c r="J48" s="48"/>
      <c r="K48" s="48"/>
      <c r="L48" s="126"/>
    </row>
    <row r="49" spans="1:15" x14ac:dyDescent="0.2">
      <c r="B49" s="162"/>
      <c r="C49" s="157"/>
      <c r="D49" s="157"/>
      <c r="E49" s="157"/>
      <c r="F49" s="157"/>
      <c r="G49" s="157"/>
      <c r="H49" s="163">
        <v>0</v>
      </c>
      <c r="I49" s="48"/>
      <c r="J49" s="48"/>
      <c r="K49" s="48"/>
      <c r="L49" s="126"/>
    </row>
    <row r="50" spans="1:15" x14ac:dyDescent="0.2">
      <c r="B50" s="164" t="s">
        <v>129</v>
      </c>
      <c r="C50" s="165">
        <f>+C32+C34+C36+C38+C40+C42+C44+C46+C48</f>
        <v>402</v>
      </c>
      <c r="D50" s="165">
        <f>+D32+D34+D36+D38+D40+D42+D44+D46+D48</f>
        <v>545</v>
      </c>
      <c r="E50" s="165">
        <f t="shared" ref="E50:H51" si="8">+E32+E34+E36+E38+E40+E42+E44+E46+E48</f>
        <v>412</v>
      </c>
      <c r="F50" s="165">
        <f t="shared" si="8"/>
        <v>402</v>
      </c>
      <c r="G50" s="165">
        <f t="shared" si="8"/>
        <v>385</v>
      </c>
      <c r="H50" s="166">
        <f t="shared" si="8"/>
        <v>405</v>
      </c>
      <c r="I50" s="48"/>
      <c r="J50" s="48"/>
      <c r="K50" s="48"/>
      <c r="L50" s="126"/>
    </row>
    <row r="51" spans="1:15" x14ac:dyDescent="0.2">
      <c r="B51" s="167"/>
      <c r="C51" s="168">
        <f>+C33+C35+C37+C39+C41+C43+C45+C47+C49</f>
        <v>1</v>
      </c>
      <c r="D51" s="168">
        <f>+D33+D35+D37+D39+D41+D43+D45+D47+D49</f>
        <v>1</v>
      </c>
      <c r="E51" s="168">
        <f t="shared" si="8"/>
        <v>1</v>
      </c>
      <c r="F51" s="168">
        <f t="shared" si="8"/>
        <v>1</v>
      </c>
      <c r="G51" s="168">
        <f t="shared" si="8"/>
        <v>1</v>
      </c>
      <c r="H51" s="168">
        <f t="shared" si="8"/>
        <v>1</v>
      </c>
      <c r="I51" s="48"/>
      <c r="J51" s="48"/>
      <c r="K51" s="48"/>
      <c r="L51" s="47"/>
      <c r="M51" s="47"/>
      <c r="N51" s="47"/>
      <c r="O51" s="47"/>
    </row>
    <row r="52" spans="1:15" x14ac:dyDescent="0.2">
      <c r="B52" s="43" t="s">
        <v>130</v>
      </c>
      <c r="C52" s="43"/>
      <c r="D52" s="169">
        <f>+(D50-C50)/C50</f>
        <v>0.35572139303482586</v>
      </c>
      <c r="E52" s="169">
        <f>IF(E50&gt;0,(E50-D50)/D50,0)</f>
        <v>-0.24403669724770644</v>
      </c>
      <c r="F52" s="169">
        <f t="shared" ref="F52:H52" si="9">IF(F50&gt;0,(F50-E50)/E50,0)</f>
        <v>-2.4271844660194174E-2</v>
      </c>
      <c r="G52" s="169">
        <f t="shared" si="9"/>
        <v>-4.228855721393035E-2</v>
      </c>
      <c r="H52" s="169">
        <f t="shared" si="9"/>
        <v>5.1948051948051951E-2</v>
      </c>
      <c r="I52" s="48"/>
      <c r="J52" s="48"/>
      <c r="K52" s="48"/>
      <c r="L52" s="47"/>
      <c r="M52" s="47"/>
      <c r="N52" s="47"/>
      <c r="O52" s="47"/>
    </row>
    <row r="53" spans="1:15" x14ac:dyDescent="0.2">
      <c r="G53" s="47"/>
      <c r="H53" s="47"/>
      <c r="I53" s="47"/>
      <c r="J53" s="47"/>
      <c r="K53" s="47"/>
      <c r="L53" s="47"/>
      <c r="M53" s="47"/>
    </row>
    <row r="54" spans="1:1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RFA Cover &amp; Cklst</vt:lpstr>
      <vt:lpstr>Pro Forma</vt:lpstr>
      <vt:lpstr>Profile</vt:lpstr>
      <vt:lpstr>'RFA Cover &amp; Cklst'!OLE_LINK3</vt:lpstr>
      <vt:lpstr>'Pro Forma'!Print_Area</vt:lpstr>
      <vt:lpstr>Profile!Print_Area</vt:lpstr>
      <vt:lpstr>'RFA Cover &amp; Cklst'!Print_Area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Mary Kay Bellinger</cp:lastModifiedBy>
  <cp:lastPrinted>2019-12-06T19:59:08Z</cp:lastPrinted>
  <dcterms:created xsi:type="dcterms:W3CDTF">2011-01-17T07:44:01Z</dcterms:created>
  <dcterms:modified xsi:type="dcterms:W3CDTF">2019-12-20T17:56:29Z</dcterms:modified>
</cp:coreProperties>
</file>